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SGCP Overlays\Calculators\"/>
    </mc:Choice>
  </mc:AlternateContent>
  <bookViews>
    <workbookView xWindow="0" yWindow="0" windowWidth="10305" windowHeight="9990" activeTab="3"/>
  </bookViews>
  <sheets>
    <sheet name="Bank Statements" sheetId="11" r:id="rId1"/>
    <sheet name="Express Doc" sheetId="15" state="hidden" r:id="rId2"/>
    <sheet name="STEP 3 - Income Analysis" sheetId="9" state="hidden" r:id="rId3"/>
    <sheet name="Asset Utilization" sheetId="12" r:id="rId4"/>
    <sheet name="Admin" sheetId="10" state="hidden" r:id="rId5"/>
    <sheet name="Admin AU" sheetId="13" state="hidden" r:id="rId6"/>
  </sheets>
  <definedNames>
    <definedName name="A">#REF!</definedName>
    <definedName name="AES">'STEP 3 - Income Analysis'!$G$15:$G$22,'STEP 3 - Income Analysis'!$E$19:$E$22,'STEP 3 - Income Analysis'!$G$13</definedName>
    <definedName name="AMD" localSheetId="0">'Bank Statements'!$F$69</definedName>
    <definedName name="AMD">#REF!</definedName>
    <definedName name="APlust">'Admin AU'!$A$12:$A$14</definedName>
    <definedName name="asdf">'Asset Utilization'!#REF!</definedName>
    <definedName name="asdfasdfasdf">#REF!</definedName>
    <definedName name="ASFWERW">#REF!</definedName>
    <definedName name="Asset">'Admin AU'!$A$12:$A$14</definedName>
    <definedName name="AssetPlus">'Admin AU'!$A$12:$A$14</definedName>
    <definedName name="AUDate">'Asset Utilization'!$H$8</definedName>
    <definedName name="BBBBB">#REF!</definedName>
    <definedName name="BExpStd">Admin!$D$3:$D$4</definedName>
    <definedName name="Borr">'Asset Utilization'!$E$4</definedName>
    <definedName name="BorrowerName" localSheetId="0">'Bank Statements'!$E$4</definedName>
    <definedName name="BorrowerName">#REF!</definedName>
    <definedName name="BT" localSheetId="0">'Bank Statements'!$D$21</definedName>
    <definedName name="BT">#REF!</definedName>
    <definedName name="BusExpinPer" localSheetId="0">'Bank Statements'!$J$16</definedName>
    <definedName name="BusExpinPer">#REF!</definedName>
    <definedName name="BusinessExplanation">'STEP 3 - Income Analysis'!$C$36</definedName>
    <definedName name="Businessname" localSheetId="0">'Bank Statements'!$M$4</definedName>
    <definedName name="Businessname">#REF!</definedName>
    <definedName name="BusName">'Asset Utilization'!#REF!</definedName>
    <definedName name="CCCC">#REF!</definedName>
    <definedName name="CoreAsset">'Admin AU'!$A$17:$A$20</definedName>
    <definedName name="d">#REF!,#REF!,#REF!</definedName>
    <definedName name="DateRecentStatement" localSheetId="0">'Bank Statements'!$D$25</definedName>
    <definedName name="DateRecentStatement">#REF!</definedName>
    <definedName name="Dep">'Asset Utilization'!$E$18</definedName>
    <definedName name="depeight">'Asset Utilization'!$E$25</definedName>
    <definedName name="depfirst">'Asset Utilization'!$E$18:$E$29</definedName>
    <definedName name="depfive">'Asset Utilization'!$E$22</definedName>
    <definedName name="depfour">'Asset Utilization'!$E$21</definedName>
    <definedName name="depnine">'Asset Utilization'!$E$26</definedName>
    <definedName name="Deposit1" localSheetId="0">'Bank Statements'!$D$32</definedName>
    <definedName name="Deposit1">#REF!</definedName>
    <definedName name="Deposit10" localSheetId="0">'Bank Statements'!$D$41</definedName>
    <definedName name="Deposit10">#REF!</definedName>
    <definedName name="Deposit11" localSheetId="0">'Bank Statements'!$D$42</definedName>
    <definedName name="Deposit11">#REF!</definedName>
    <definedName name="Deposit12" localSheetId="0">'Bank Statements'!$D$43</definedName>
    <definedName name="Deposit12">#REF!</definedName>
    <definedName name="Deposit2" localSheetId="0">'Bank Statements'!$D$33</definedName>
    <definedName name="Deposit2">#REF!</definedName>
    <definedName name="Deposit3" localSheetId="0">'Bank Statements'!$D$34</definedName>
    <definedName name="Deposit3">#REF!</definedName>
    <definedName name="Deposit4" localSheetId="0">'Bank Statements'!$D$35</definedName>
    <definedName name="Deposit4">#REF!</definedName>
    <definedName name="Deposit5" localSheetId="0">'Bank Statements'!$D$36</definedName>
    <definedName name="Deposit5">#REF!</definedName>
    <definedName name="Deposit6" localSheetId="0">'Bank Statements'!$D$37</definedName>
    <definedName name="Deposit6">#REF!</definedName>
    <definedName name="Deposit7" localSheetId="0">'Bank Statements'!$D$38</definedName>
    <definedName name="Deposit7">#REF!</definedName>
    <definedName name="Deposit8" localSheetId="0">'Bank Statements'!$D$39</definedName>
    <definedName name="Deposit8">#REF!</definedName>
    <definedName name="Deposit9" localSheetId="0">'Bank Statements'!$D$40</definedName>
    <definedName name="Deposit9">#REF!</definedName>
    <definedName name="DepositNotBus1" localSheetId="0">'Bank Statements'!$G$32</definedName>
    <definedName name="DepositNotBus1">#REF!</definedName>
    <definedName name="DepositNotBus2" localSheetId="0">'Bank Statements'!$G$33</definedName>
    <definedName name="DepositNotBus2">#REF!</definedName>
    <definedName name="DepositNotBus3" localSheetId="0">'Bank Statements'!$G$34</definedName>
    <definedName name="DepositNotBus3">#REF!</definedName>
    <definedName name="Deposits24" localSheetId="0">'Bank Statements'!$E$50:$E$61</definedName>
    <definedName name="Deposits24">#REF!</definedName>
    <definedName name="DepositsFirst12" localSheetId="0">'Bank Statements'!$E$32:$E$43</definedName>
    <definedName name="DepositsFirst12">#REF!</definedName>
    <definedName name="DepositsNotBus12" localSheetId="0">'Bank Statements'!$G$32:$L$43</definedName>
    <definedName name="DepositsNotBus12">#REF!</definedName>
    <definedName name="DepositsNotBus24" localSheetId="0">'Bank Statements'!$G$50:$L$61</definedName>
    <definedName name="DepositsNotBus24">#REF!</definedName>
    <definedName name="Depositten">'Asset Utilization'!$E$27</definedName>
    <definedName name="depseven">'Asset Utilization'!$E$24</definedName>
    <definedName name="depsix">'Asset Utilization'!$E$23</definedName>
    <definedName name="depthree">'Asset Utilization'!$E$20</definedName>
    <definedName name="deptwentyfour">'Asset Utilization'!#REF!</definedName>
    <definedName name="deptwo">'Asset Utilization'!$E$19</definedName>
    <definedName name="DownPayment">'Asset Utilization'!$H$6</definedName>
    <definedName name="DSDF">#REF!</definedName>
    <definedName name="dsf">'Asset Utilization'!#REF!</definedName>
    <definedName name="E">#REF!</definedName>
    <definedName name="eleven">'Asset Utilization'!$E$28</definedName>
    <definedName name="empl">'Asset Utilization'!#REF!</definedName>
    <definedName name="Employees" localSheetId="0">'Bank Statements'!$M$8</definedName>
    <definedName name="Employees">#REF!</definedName>
    <definedName name="FFFFF">#REF!</definedName>
    <definedName name="GGGGGG">#REF!</definedName>
    <definedName name="goods">'Asset Utilization'!#REF!</definedName>
    <definedName name="GoodsorServices" localSheetId="0">'Bank Statements'!$M$6</definedName>
    <definedName name="GoodsorServices">#REF!</definedName>
    <definedName name="HHHHHH">#REF!</definedName>
    <definedName name="I">#REF!</definedName>
    <definedName name="JJJJJ">#REF!</definedName>
    <definedName name="KKKK">#REF!</definedName>
    <definedName name="larege">'Asset Utilization'!#REF!</definedName>
    <definedName name="LargeDeposits" localSheetId="0">'Bank Statements'!$N$25</definedName>
    <definedName name="LargeDeposits">#REF!</definedName>
    <definedName name="LLLLL">#REF!</definedName>
    <definedName name="LoanAmount">'Asset Utilization'!$H$4</definedName>
    <definedName name="LoanNumber">'Asset Utilization'!#REF!</definedName>
    <definedName name="lstBType">Admin!$B$3:$B$4</definedName>
    <definedName name="lstMos">Admin!$C$3:$C$4</definedName>
    <definedName name="MMMMM">#REF!</definedName>
    <definedName name="mo">'Admin AU'!#REF!</definedName>
    <definedName name="MosReq" localSheetId="0">'Bank Statements'!$D$23</definedName>
    <definedName name="MosReq">#REF!</definedName>
    <definedName name="NNNNN">#REF!</definedName>
    <definedName name="NotBusDeposit">'Asset Utilization'!$G$18</definedName>
    <definedName name="notbusthree">'Asset Utilization'!$G$20</definedName>
    <definedName name="notbustwelve">'Asset Utilization'!$G$18:$J$29</definedName>
    <definedName name="notbustwentyfour">'Asset Utilization'!#REF!</definedName>
    <definedName name="notbustwo">'Asset Utilization'!$G$19</definedName>
    <definedName name="notsufficientfunds">'Asset Utilization'!#REF!</definedName>
    <definedName name="NSF" localSheetId="0">'Bank Statements'!$N$23</definedName>
    <definedName name="NSF">#REF!</definedName>
    <definedName name="numberofmonths">'Asset Utilization'!#REF!</definedName>
    <definedName name="O">#REF!</definedName>
    <definedName name="own">'Asset Utilization'!$H$4</definedName>
    <definedName name="Ownership" localSheetId="0">'Bank Statements'!$D$10</definedName>
    <definedName name="Ownership">#REF!</definedName>
    <definedName name="P">#REF!</definedName>
    <definedName name="page">'Admin AU'!#REF!</definedName>
    <definedName name="personal">'Asset Utilization'!$H$6</definedName>
    <definedName name="PgRq">Admin!$E$3:$E$5</definedName>
    <definedName name="PlusAsset">'Admin AU'!$A$12:$A$14</definedName>
    <definedName name="PorB" localSheetId="0">'Bank Statements'!$J$12</definedName>
    <definedName name="PorB">#REF!</definedName>
    <definedName name="_xlnm.Print_Area" localSheetId="3">'Asset Utilization'!$A$1:$K$40</definedName>
    <definedName name="_xlnm.Print_Area" localSheetId="0">'Bank Statements'!$A$1:$Q$121</definedName>
    <definedName name="_xlnm.Print_Area" localSheetId="2">'STEP 3 - Income Analysis'!$A$1:$K$57</definedName>
    <definedName name="Program">'Admin AU'!$A$8:$A$9</definedName>
    <definedName name="Q">#REF!</definedName>
    <definedName name="Rent" localSheetId="0">'Bank Statements'!$M$10</definedName>
    <definedName name="Rent">#REF!</definedName>
    <definedName name="rents">'Asset Utilization'!#REF!</definedName>
    <definedName name="res">'Admin AU'!$A$3:$A$4</definedName>
    <definedName name="Result">Admin!$F$3:$F$4</definedName>
    <definedName name="RRRR">#REF!</definedName>
    <definedName name="S">#REF!</definedName>
    <definedName name="SDFADSFADSF">#REF!</definedName>
    <definedName name="SDFASDFWEREWR">#REF!</definedName>
    <definedName name="seperate">'Asset Utilization'!#REF!</definedName>
    <definedName name="Seperatebooks" localSheetId="0">'Bank Statements'!$J$14</definedName>
    <definedName name="Seperatebooks">#REF!</definedName>
    <definedName name="SSSDSDD">#REF!</definedName>
    <definedName name="transfer">'Asset Utilization'!#REF!</definedName>
    <definedName name="Transfers" localSheetId="0">'Bank Statements'!$N$21</definedName>
    <definedName name="Transfers">#REF!</definedName>
    <definedName name="TTT">#REF!</definedName>
    <definedName name="twelve">'Asset Utilization'!$E$29</definedName>
    <definedName name="type">'Admin AU'!#REF!</definedName>
    <definedName name="U">#REF!</definedName>
    <definedName name="VVVV">#REF!</definedName>
    <definedName name="W">#REF!</definedName>
    <definedName name="XCV">#REF!</definedName>
    <definedName name="XXXXX">#REF!</definedName>
    <definedName name="XZCDFEW">#REF!</definedName>
    <definedName name="YYYY">#REF!</definedName>
    <definedName name="ZZZZZZ">#REF!</definedName>
  </definedNames>
  <calcPr calcId="152511"/>
  <fileRecoveryPr autoRecover="0"/>
</workbook>
</file>

<file path=xl/calcChain.xml><?xml version="1.0" encoding="utf-8"?>
<calcChain xmlns="http://schemas.openxmlformats.org/spreadsheetml/2006/main">
  <c r="H10" i="12" l="1"/>
  <c r="L17" i="12" l="1"/>
  <c r="J20" i="12"/>
  <c r="J21" i="12"/>
  <c r="J22" i="12"/>
  <c r="J23" i="12"/>
  <c r="J24" i="12"/>
  <c r="J25" i="12"/>
  <c r="J26" i="12"/>
  <c r="J27" i="12"/>
  <c r="J28" i="12"/>
  <c r="J29" i="12"/>
  <c r="J18" i="12"/>
  <c r="J19" i="12"/>
  <c r="I18" i="12"/>
  <c r="R25" i="11" l="1"/>
  <c r="B75" i="11"/>
  <c r="B74" i="11"/>
  <c r="N61" i="11" l="1"/>
  <c r="N60" i="11"/>
  <c r="N59" i="11"/>
  <c r="N58" i="11"/>
  <c r="N57" i="11"/>
  <c r="N56" i="11"/>
  <c r="N55" i="11"/>
  <c r="N54" i="11"/>
  <c r="N53" i="11"/>
  <c r="E81" i="11" l="1"/>
  <c r="E79" i="11"/>
  <c r="I21" i="12" l="1"/>
  <c r="I22" i="12"/>
  <c r="I23" i="12"/>
  <c r="I24" i="12"/>
  <c r="I25" i="12"/>
  <c r="I26" i="12"/>
  <c r="I27" i="12"/>
  <c r="I28" i="12"/>
  <c r="I29" i="12"/>
  <c r="I20" i="12"/>
  <c r="I19" i="12"/>
  <c r="D11" i="11" l="1"/>
  <c r="E10" i="12" l="1"/>
  <c r="H21" i="15" l="1"/>
  <c r="Q48" i="15"/>
  <c r="Q41" i="15"/>
  <c r="A3" i="13" l="1"/>
  <c r="H23" i="15"/>
  <c r="Q35" i="15"/>
  <c r="Q37" i="15" s="1"/>
  <c r="Q39" i="15" s="1"/>
  <c r="Q46" i="15" s="1"/>
  <c r="Q50" i="15" s="1"/>
  <c r="E9" i="12" l="1"/>
  <c r="D21" i="11" l="1"/>
  <c r="R83" i="11" s="1"/>
  <c r="H30" i="12"/>
  <c r="O95" i="11"/>
  <c r="O97" i="11" s="1"/>
  <c r="D62" i="11"/>
  <c r="D44" i="11"/>
  <c r="I83" i="11"/>
  <c r="N50" i="11"/>
  <c r="N51" i="11"/>
  <c r="N52" i="11"/>
  <c r="F31" i="12" l="1"/>
  <c r="J30" i="12"/>
  <c r="G30" i="12"/>
  <c r="I30" i="12"/>
  <c r="D38" i="12" s="1"/>
  <c r="O103" i="11"/>
  <c r="N11" i="11"/>
  <c r="R81" i="11"/>
  <c r="R85" i="11"/>
  <c r="M13" i="11"/>
  <c r="A4" i="13"/>
  <c r="D36" i="12" l="1"/>
  <c r="G36" i="12" s="1"/>
  <c r="G38" i="12"/>
  <c r="G62" i="11"/>
  <c r="C64" i="11"/>
  <c r="G44" i="11"/>
  <c r="C45" i="11"/>
  <c r="N43" i="11"/>
  <c r="N42" i="11"/>
  <c r="N41" i="11"/>
  <c r="N40" i="11"/>
  <c r="N39" i="11"/>
  <c r="N38" i="11"/>
  <c r="N37" i="11"/>
  <c r="N36" i="11"/>
  <c r="N35" i="11"/>
  <c r="N34" i="11"/>
  <c r="N33" i="11"/>
  <c r="N32" i="11"/>
  <c r="C32" i="11"/>
  <c r="C33" i="11" s="1"/>
  <c r="C34" i="11" s="1"/>
  <c r="C35" i="11" s="1"/>
  <c r="C36" i="11" s="1"/>
  <c r="C37" i="11" s="1"/>
  <c r="C38" i="11" s="1"/>
  <c r="C39" i="11" s="1"/>
  <c r="C40" i="11" s="1"/>
  <c r="C41" i="11" s="1"/>
  <c r="C42" i="11" s="1"/>
  <c r="C43" i="11" s="1"/>
  <c r="C50" i="11" s="1"/>
  <c r="C51" i="11" s="1"/>
  <c r="C52" i="11" s="1"/>
  <c r="C53" i="11" s="1"/>
  <c r="C54" i="11" s="1"/>
  <c r="C55" i="11" s="1"/>
  <c r="C56" i="11" s="1"/>
  <c r="C57" i="11" s="1"/>
  <c r="C58" i="11" s="1"/>
  <c r="C59" i="11" s="1"/>
  <c r="C60" i="11" s="1"/>
  <c r="C61" i="11" s="1"/>
  <c r="C28" i="11"/>
  <c r="R23" i="11"/>
  <c r="R21" i="11"/>
  <c r="L110" i="11"/>
  <c r="D23" i="11" l="1"/>
  <c r="N44" i="11"/>
  <c r="N62" i="11"/>
  <c r="I34" i="12"/>
  <c r="B116" i="11"/>
  <c r="J65" i="11" l="1"/>
  <c r="F69" i="11"/>
  <c r="L103" i="11" l="1"/>
  <c r="R103" i="11"/>
  <c r="E83" i="11"/>
  <c r="E85" i="11" s="1"/>
  <c r="G43" i="9"/>
  <c r="E87" i="11" l="1"/>
  <c r="F110" i="11" s="1"/>
  <c r="F112" i="11" s="1"/>
  <c r="B9" i="9"/>
  <c r="G23" i="9" l="1"/>
  <c r="K4" i="10" l="1"/>
  <c r="K3" i="10"/>
  <c r="F4" i="10" l="1"/>
  <c r="J17" i="9" l="1"/>
  <c r="J16" i="9"/>
  <c r="J15" i="9"/>
  <c r="C35" i="9" l="1"/>
  <c r="F3" i="10"/>
  <c r="B50" i="9" l="1"/>
  <c r="H3" i="10"/>
  <c r="H4" i="10" s="1"/>
  <c r="E19" i="10"/>
  <c r="R14" i="9" l="1"/>
  <c r="B6" i="9" l="1"/>
  <c r="D10" i="10" l="1"/>
  <c r="G45" i="9" l="1"/>
  <c r="R13" i="9"/>
  <c r="Q13" i="9"/>
  <c r="C33" i="9"/>
  <c r="G25" i="9" l="1"/>
  <c r="Q14" i="9"/>
  <c r="G27" i="9" l="1"/>
  <c r="G47" i="9" s="1"/>
  <c r="F50" i="9" s="1"/>
  <c r="I3" i="10" l="1"/>
  <c r="I4" i="10" s="1"/>
  <c r="D50" i="9" l="1"/>
  <c r="O99" i="11" l="1"/>
  <c r="O101" i="11" s="1"/>
  <c r="O110" i="11" l="1"/>
  <c r="O112" i="11" s="1"/>
</calcChain>
</file>

<file path=xl/sharedStrings.xml><?xml version="1.0" encoding="utf-8"?>
<sst xmlns="http://schemas.openxmlformats.org/spreadsheetml/2006/main" count="236" uniqueCount="166">
  <si>
    <t>Cost of Goods/Materials</t>
  </si>
  <si>
    <t>Labor/ Wages (paid to others)</t>
  </si>
  <si>
    <t>Business</t>
  </si>
  <si>
    <t>Personal</t>
  </si>
  <si>
    <t xml:space="preserve"> </t>
  </si>
  <si>
    <t>Other:</t>
  </si>
  <si>
    <t>TOTAL:</t>
  </si>
  <si>
    <t>Total Expenses:</t>
  </si>
  <si>
    <t>lstBType</t>
  </si>
  <si>
    <t>lstMos</t>
  </si>
  <si>
    <t>Yes</t>
  </si>
  <si>
    <t>No</t>
  </si>
  <si>
    <t>BExpStd</t>
  </si>
  <si>
    <t>PgRq</t>
  </si>
  <si>
    <t>Result</t>
  </si>
  <si>
    <t>The analysis of program requirements could not be completed. Please ensure you have filled out all required fields.</t>
  </si>
  <si>
    <t>MoCount</t>
  </si>
  <si>
    <t>MoCountResult</t>
  </si>
  <si>
    <t>Based on the program you selected, you have not entered enough months of bank statement deposits to get an accurate income calculation</t>
  </si>
  <si>
    <t>Based on the program you selected, you entered too many months bank statement deposits to get an accurate income calculation</t>
  </si>
  <si>
    <t>Program Requirements Met?</t>
  </si>
  <si>
    <t>RESULTS</t>
  </si>
  <si>
    <r>
      <rPr>
        <u/>
        <sz val="10"/>
        <color theme="1"/>
        <rFont val="Segoe UI"/>
        <family val="2"/>
      </rPr>
      <t>PROGRAM REQUIREMENT:</t>
    </r>
    <r>
      <rPr>
        <sz val="10"/>
        <color theme="1"/>
        <rFont val="Segoe UI"/>
        <family val="2"/>
      </rPr>
      <t xml:space="preserve"> Business receipts/gross income listed below must be within 10% of deposits on the business bank statements.</t>
    </r>
  </si>
  <si>
    <r>
      <rPr>
        <u/>
        <sz val="10"/>
        <color theme="1"/>
        <rFont val="Segoe UI"/>
        <family val="2"/>
      </rPr>
      <t>PROGRAM REQUIREMENT:</t>
    </r>
    <r>
      <rPr>
        <sz val="10"/>
        <color theme="1"/>
        <rFont val="Segoe UI"/>
        <family val="2"/>
      </rPr>
      <t xml:space="preserve"> Net income listed below must be within 10% of deposits on the personal bank statements.</t>
    </r>
  </si>
  <si>
    <t>Step 1 - Borrower / Business Information</t>
  </si>
  <si>
    <t>Step 3 - Income Analysis</t>
  </si>
  <si>
    <t>Net Income:</t>
  </si>
  <si>
    <t>Question Fie</t>
  </si>
  <si>
    <t>Earnings Summary</t>
  </si>
  <si>
    <t>Most Recent 12 Months</t>
  </si>
  <si>
    <t>Sells Goods</t>
  </si>
  <si>
    <t>Offers Services</t>
  </si>
  <si>
    <t>Part-Time</t>
  </si>
  <si>
    <t>Full-Time</t>
  </si>
  <si>
    <t>Rent</t>
  </si>
  <si>
    <t>Total Deposits</t>
  </si>
  <si>
    <t>Description</t>
  </si>
  <si>
    <t>$</t>
  </si>
  <si>
    <t>Does your borrower have any large deposits (as defined by Fannie)?</t>
  </si>
  <si>
    <t>Qualifying Net Income (% ownership):</t>
  </si>
  <si>
    <t>Average Monthly 
Qualifying Deposits</t>
  </si>
  <si>
    <t>Are there transfers from other bank accounts?</t>
  </si>
  <si>
    <t>Total business receipts/gross income?</t>
  </si>
  <si>
    <t>Auto/Truck/Insurance</t>
  </si>
  <si>
    <t>Qualifying Monthly Income</t>
  </si>
  <si>
    <t>Business or Personal Account:</t>
  </si>
  <si>
    <t>Both</t>
  </si>
  <si>
    <t>Program Requirements:</t>
  </si>
  <si>
    <t>Business Income compare</t>
  </si>
  <si>
    <t>Personal Income Compare</t>
  </si>
  <si>
    <t>Result_V2</t>
  </si>
  <si>
    <t>&gt;10%</t>
  </si>
  <si>
    <t>&lt;10%</t>
  </si>
  <si>
    <t>Error</t>
  </si>
  <si>
    <t xml:space="preserve">Borrower  Signature: </t>
  </si>
  <si>
    <t>Please complete Step 1 to determine program requirements (business or personal).</t>
  </si>
  <si>
    <t>Please summarize the business expenses…</t>
  </si>
  <si>
    <t xml:space="preserve">For professional use only. Not intended for consumers but for loan sellers in connection with SG Capital Partners’ possible purchase of already-closed mortgage loans. SG Capital Partners has no obligation to purchase any mortgage loan and makes no representation or warranty as to the validity or accuracy of any information contained in this service. Loan programs are subject to change without notice. Actual rates and payments will vary based on borrower’s individual situation and current rates, which may change daily. Some products may not be available in all states. Other restrictions and conditions may apply.
This bank statement calculator is designed to provide a preliminary qualification analysis and does not constitute a credit decision or a commitment to make a loan.
Changes may occur upon receipt and review of the complete loan package and the credit report.
©SG Capital Partners LLC. </t>
  </si>
  <si>
    <t>Average Monthly Deposits:</t>
  </si>
  <si>
    <t>Monthly Net Income:</t>
  </si>
  <si>
    <r>
      <rPr>
        <b/>
        <i/>
        <u/>
        <sz val="14"/>
        <rFont val="Calibri"/>
        <family val="2"/>
        <scheme val="minor"/>
      </rPr>
      <t>NOTE:</t>
    </r>
    <r>
      <rPr>
        <b/>
        <i/>
        <sz val="14"/>
        <rFont val="Calibri"/>
        <family val="2"/>
        <scheme val="minor"/>
      </rPr>
      <t xml:space="preserve"> The following quesitons are regarding the </t>
    </r>
    <r>
      <rPr>
        <b/>
        <i/>
        <u/>
        <sz val="14"/>
        <rFont val="Calibri"/>
        <family val="2"/>
        <scheme val="minor"/>
      </rPr>
      <t>BUSINESS,</t>
    </r>
    <r>
      <rPr>
        <b/>
        <i/>
        <sz val="14"/>
        <rFont val="Calibri"/>
        <family val="2"/>
        <scheme val="minor"/>
      </rPr>
      <t xml:space="preserve"> 
not their bank statements.</t>
    </r>
  </si>
  <si>
    <t>Business Income from initial 1003:</t>
  </si>
  <si>
    <t>TOTAL Deposits:</t>
  </si>
  <si>
    <t># Mo Bank Statements:</t>
  </si>
  <si>
    <t>End date of most recent statement?</t>
  </si>
  <si>
    <t>Month</t>
  </si>
  <si>
    <t>Calculation Option:</t>
  </si>
  <si>
    <t>Qualifying Income:</t>
  </si>
  <si>
    <t>Type of Business:</t>
  </si>
  <si>
    <t># of FTE/Contractors</t>
  </si>
  <si>
    <t>Service Business</t>
  </si>
  <si>
    <t>Product Business</t>
  </si>
  <si>
    <t>Examples: Retail, Food Services/ Restaurant, Manufacturing, Contracting/ Construction</t>
  </si>
  <si>
    <t>1-5</t>
  </si>
  <si>
    <t>Borrower Name:</t>
  </si>
  <si>
    <t>Entity / Business Name:</t>
  </si>
  <si>
    <t>% ownership of the business?</t>
  </si>
  <si>
    <t>Sell goods or offer services?</t>
  </si>
  <si>
    <t>Does the business pay any employees or contractors?</t>
  </si>
  <si>
    <t>Is your borrower using personal Bank statements?</t>
  </si>
  <si>
    <t>If yes….</t>
  </si>
  <si>
    <t>Are there any business expenses in their personal account?</t>
  </si>
  <si>
    <t>Does the borrower keep separate personal &amp; business bank accounts?</t>
  </si>
  <si>
    <t>Are there any NSF fees, overdraft fees, and/or overdraft transfers?</t>
  </si>
  <si>
    <r>
      <t xml:space="preserve">Deposits </t>
    </r>
    <r>
      <rPr>
        <b/>
        <i/>
        <u/>
        <sz val="12"/>
        <color theme="0"/>
        <rFont val="Calibri"/>
        <family val="2"/>
        <scheme val="minor"/>
      </rPr>
      <t>NOT</t>
    </r>
    <r>
      <rPr>
        <b/>
        <i/>
        <sz val="12"/>
        <color theme="0"/>
        <rFont val="Calibri"/>
        <family val="2"/>
        <scheme val="minor"/>
      </rPr>
      <t xml:space="preserve"> from business activity</t>
    </r>
  </si>
  <si>
    <t>Step 2 - Bank Statements Analysis:</t>
  </si>
  <si>
    <t>Step 3 - Qualifying Income</t>
  </si>
  <si>
    <t>Expense Factor</t>
  </si>
  <si>
    <t xml:space="preserve">For professional use only. Not intended for consumers but for loan sellers in connection with SG Capital Partners’ possible purchase of already-closed mortgage loans. SG Capital Partners has no obligation to purchase any mortgage loan and makes no representation or warranty as to the validity or accuracy of any information contained in this service. Loan programs are subject to change without notice. Actual rates and payments will vary based on borrower’s individual situation and current rates, which may change daily. Some products may not be available in all states. Other restrictions and conditions may apply.
This bank statement calculator is designed to provide a preliminary qualification analysis and does not constitute a credit decision or a commitment to make a loan. Changes may occur upon receipt and review of the complete loan package and the credit report.
©SG Capital Partners LLC. </t>
  </si>
  <si>
    <t>Bank Statement 
Worksheet</t>
  </si>
  <si>
    <r>
      <t>Deposits</t>
    </r>
    <r>
      <rPr>
        <b/>
        <i/>
        <u/>
        <sz val="12"/>
        <color theme="0"/>
        <rFont val="Calibri"/>
        <family val="2"/>
        <scheme val="minor"/>
      </rPr>
      <t xml:space="preserve"> NOT </t>
    </r>
    <r>
      <rPr>
        <b/>
        <i/>
        <sz val="12"/>
        <color theme="0"/>
        <rFont val="Calibri"/>
        <family val="2"/>
        <scheme val="minor"/>
      </rPr>
      <t>from business activity</t>
    </r>
  </si>
  <si>
    <t>Qualifying Monthly Income (Assets/120)</t>
  </si>
  <si>
    <t>Total</t>
  </si>
  <si>
    <t>$ Using for Closing Costs</t>
  </si>
  <si>
    <t>Total Amount</t>
  </si>
  <si>
    <t>Institution</t>
  </si>
  <si>
    <t>Verified Asset Type</t>
  </si>
  <si>
    <t>Step 2 - Assets:</t>
  </si>
  <si>
    <t>Step 1 - Borrower / Loan Information</t>
  </si>
  <si>
    <t>(A) Monthly Income from Initial 1003:</t>
  </si>
  <si>
    <t>QUALIFYING INCOME:</t>
  </si>
  <si>
    <t>The lower of:</t>
  </si>
  <si>
    <t>Loan Amount:</t>
  </si>
  <si>
    <t>Downpayment:</t>
  </si>
  <si>
    <t>Total Loan Costs:</t>
  </si>
  <si>
    <t>Closing Costs:</t>
  </si>
  <si>
    <t>- Reserves
- Payment shock not applicable</t>
  </si>
  <si>
    <t>Not permitted:</t>
  </si>
  <si>
    <t xml:space="preserve">Not Required:
</t>
  </si>
  <si>
    <t>LTV:</t>
  </si>
  <si>
    <t>Qualified Assets</t>
  </si>
  <si>
    <t>Net Deposits</t>
  </si>
  <si>
    <t>TOTAL NET DEPOSITS:</t>
  </si>
  <si>
    <t>BORROWER PREPARED P&amp;L or EARNINGS SUMMARY (ES)</t>
  </si>
  <si>
    <t>Net Income x % ownership:</t>
  </si>
  <si>
    <t>Example: A home-based sole practitioner therapist/consultant can be expected to have a low expense ratio, while a retail business that has a full staff of employees and relies heavily on inventory to generate income will have a high expense ratio.</t>
  </si>
  <si>
    <t>Net Assets</t>
  </si>
  <si>
    <t>Service</t>
  </si>
  <si>
    <t>Product</t>
  </si>
  <si>
    <t>Service Business (offers services)</t>
  </si>
  <si>
    <t>Product Business (sells goods)</t>
  </si>
  <si>
    <t>Examples: Consulting, Accounting, Legal, Therapy, Counseling, Financial Planning, Insurance, Information Technology</t>
  </si>
  <si>
    <r>
      <t xml:space="preserve"># of FTE/Contractors </t>
    </r>
    <r>
      <rPr>
        <b/>
        <sz val="10"/>
        <color theme="1"/>
        <rFont val="Calibri"/>
        <family val="2"/>
        <scheme val="minor"/>
      </rPr>
      <t>(does not include borrower)</t>
    </r>
  </si>
  <si>
    <t>Other: ______________________</t>
  </si>
  <si>
    <t>(B) Monthly Expense Statement Calculation:
(above)</t>
  </si>
  <si>
    <t>Avg. Mo. Net Deposits:</t>
  </si>
  <si>
    <t xml:space="preserve">Multiply by Expense Factor </t>
  </si>
  <si>
    <t>Multiply % Ownership</t>
  </si>
  <si>
    <t>Option 1:
EXPENSE FACTOR</t>
  </si>
  <si>
    <r>
      <t xml:space="preserve">Rent space? </t>
    </r>
    <r>
      <rPr>
        <b/>
        <sz val="8"/>
        <color theme="1"/>
        <rFont val="Calibri"/>
        <family val="2"/>
        <scheme val="minor"/>
      </rPr>
      <t>i.e. Office, warehouse, storefront etc.</t>
    </r>
  </si>
  <si>
    <t xml:space="preserve">- Cash-Out                             - Gift Funds
- Non-Owner Occ                 - Foreign Assets
- Recent Event </t>
  </si>
  <si>
    <t>Asset Utilization Worksheet</t>
  </si>
  <si>
    <t>Are they met?</t>
  </si>
  <si>
    <t>Prior 12 Months (if applicable)</t>
  </si>
  <si>
    <r>
      <t xml:space="preserve">Option 2:
BORROWER PREPARED P&amp;L or EARNINGS SUMMARY (ES) 
</t>
    </r>
    <r>
      <rPr>
        <b/>
        <sz val="11"/>
        <color theme="0"/>
        <rFont val="Calibri"/>
        <family val="2"/>
        <scheme val="minor"/>
      </rPr>
      <t>(same time period as deposits)</t>
    </r>
  </si>
  <si>
    <t xml:space="preserve">Business receipts/gross income? </t>
  </si>
  <si>
    <t>Please summarize the total business expenses…</t>
  </si>
  <si>
    <t>Loan Program:</t>
  </si>
  <si>
    <t>Expanded Access Core</t>
  </si>
  <si>
    <t>Expanded Access Plus</t>
  </si>
  <si>
    <t>Checking, Savings, or Money Account (100%)</t>
  </si>
  <si>
    <t>WAGE EARNERS:</t>
  </si>
  <si>
    <t>Previous Year W2 or 1099:</t>
  </si>
  <si>
    <t>SELF-EMPLOYED:</t>
  </si>
  <si>
    <t>Most recent pay stub (incl. YTD earnings)</t>
  </si>
  <si>
    <t>Previous Year Personal Tax Return Net Income</t>
  </si>
  <si>
    <t>Previous Year Business Tax Return Net Income</t>
  </si>
  <si>
    <t>(A) Monthly average of net income from tax return and P&amp;L/ES</t>
  </si>
  <si>
    <t>% Ownership in Business</t>
  </si>
  <si>
    <t>(B) Monthly Tax Return Net Income multiplied by 115%</t>
  </si>
  <si>
    <t>(A) ??????</t>
  </si>
  <si>
    <t>(B) ??????????</t>
  </si>
  <si>
    <t>Express Doc Worksheet</t>
  </si>
  <si>
    <t>Plus</t>
  </si>
  <si>
    <t>Core</t>
  </si>
  <si>
    <t>Program Type</t>
  </si>
  <si>
    <t># of Months Covering:</t>
  </si>
  <si>
    <t>YTD P&amp;L/Earnings Summary:</t>
  </si>
  <si>
    <t>Jon Snow</t>
  </si>
  <si>
    <t>FICO:</t>
  </si>
  <si>
    <t>&gt;5</t>
  </si>
  <si>
    <t>1.</t>
  </si>
  <si>
    <t>2.</t>
  </si>
  <si>
    <t>Stocks, Bonds or Mutual Fund (Core: 85%, Plus: 80%)</t>
  </si>
  <si>
    <t>Vested Retirement Account (Core: 80%, Plus: 70%)</t>
  </si>
  <si>
    <t>OREO Home Equity (Residential Only) (Core Only: 75%)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</si>
</sst>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quot;$&quot;#,##0.00"/>
    <numFmt numFmtId="165" formatCode="&quot;$&quot;#,##0"/>
    <numFmt numFmtId="166" formatCode="mmmm\,yyyy"/>
    <numFmt numFmtId="167" formatCode="mmmm\-yyyy"/>
    <numFmt numFmtId="168" formatCode="_(&quot;$&quot;* #,##0_);_(&quot;$&quot;* \(#,##0\);_(&quot;$&quot;* &quot;-&quot;??_);_(@_)"/>
    <numFmt numFmtId="169" formatCode="0.0%"/>
  </numFmts>
  <fonts count="68" x14ac:knownFonts="1">
    <font>
      <sz val="11"/>
      <color theme="1"/>
      <name val="Calibri"/>
      <family val="2"/>
      <scheme val="minor"/>
    </font>
    <font>
      <sz val="10"/>
      <color theme="1"/>
      <name val="Segoe UI"/>
      <family val="2"/>
    </font>
    <font>
      <sz val="14"/>
      <color theme="1"/>
      <name val="Calibri"/>
      <family val="2"/>
      <scheme val="minor"/>
    </font>
    <font>
      <sz val="14"/>
      <color theme="1"/>
      <name val="Calibri"/>
      <family val="2"/>
      <scheme val="minor"/>
    </font>
    <font>
      <sz val="14"/>
      <color theme="1"/>
      <name val="Calibri"/>
      <family val="2"/>
      <scheme val="minor"/>
    </font>
    <font>
      <sz val="11"/>
      <color theme="1"/>
      <name val="Calibri"/>
      <family val="2"/>
      <scheme val="minor"/>
    </font>
    <font>
      <b/>
      <sz val="11"/>
      <color theme="1"/>
      <name val="Calibri"/>
      <family val="2"/>
      <scheme val="minor"/>
    </font>
    <font>
      <b/>
      <sz val="12"/>
      <color theme="3"/>
      <name val="Calibri"/>
      <family val="2"/>
      <scheme val="minor"/>
    </font>
    <font>
      <b/>
      <sz val="16"/>
      <color theme="0"/>
      <name val="Calibri"/>
      <family val="2"/>
      <scheme val="minor"/>
    </font>
    <font>
      <b/>
      <sz val="14"/>
      <color theme="1"/>
      <name val="Calibri"/>
      <family val="2"/>
      <scheme val="minor"/>
    </font>
    <font>
      <b/>
      <sz val="14"/>
      <color theme="0"/>
      <name val="Calibri"/>
      <family val="2"/>
      <scheme val="minor"/>
    </font>
    <font>
      <b/>
      <i/>
      <sz val="18"/>
      <color theme="0"/>
      <name val="Calibri"/>
      <family val="2"/>
      <scheme val="minor"/>
    </font>
    <font>
      <b/>
      <sz val="11"/>
      <color theme="0"/>
      <name val="Calibri"/>
      <family val="2"/>
      <scheme val="minor"/>
    </font>
    <font>
      <b/>
      <sz val="14"/>
      <name val="Calibri"/>
      <family val="2"/>
      <scheme val="minor"/>
    </font>
    <font>
      <sz val="12"/>
      <color theme="1"/>
      <name val="Calibri"/>
      <family val="2"/>
      <scheme val="minor"/>
    </font>
    <font>
      <b/>
      <sz val="12"/>
      <color rgb="FF00B050"/>
      <name val="Calibri"/>
      <family val="2"/>
      <scheme val="minor"/>
    </font>
    <font>
      <b/>
      <sz val="14"/>
      <color rgb="FF00B050"/>
      <name val="Calibri"/>
      <family val="2"/>
      <scheme val="minor"/>
    </font>
    <font>
      <b/>
      <i/>
      <sz val="14"/>
      <name val="Calibri"/>
      <family val="2"/>
      <scheme val="minor"/>
    </font>
    <font>
      <sz val="14"/>
      <name val="Calibri"/>
      <family val="2"/>
      <scheme val="minor"/>
    </font>
    <font>
      <b/>
      <sz val="22"/>
      <color theme="1"/>
      <name val="Calibri"/>
      <family val="2"/>
      <scheme val="minor"/>
    </font>
    <font>
      <b/>
      <sz val="11"/>
      <color rgb="FFFF0000"/>
      <name val="Calibri"/>
      <family val="2"/>
      <scheme val="minor"/>
    </font>
    <font>
      <b/>
      <sz val="14"/>
      <color rgb="FFFF0000"/>
      <name val="Calibri"/>
      <family val="2"/>
      <scheme val="minor"/>
    </font>
    <font>
      <sz val="11"/>
      <name val="Calibri"/>
      <family val="2"/>
      <scheme val="minor"/>
    </font>
    <font>
      <b/>
      <sz val="28"/>
      <name val="Calibri"/>
      <family val="2"/>
      <scheme val="minor"/>
    </font>
    <font>
      <b/>
      <sz val="24"/>
      <color rgb="FF416189"/>
      <name val="Calibri"/>
      <family val="2"/>
      <scheme val="minor"/>
    </font>
    <font>
      <sz val="11"/>
      <color rgb="FF416189"/>
      <name val="Calibri"/>
      <family val="2"/>
      <scheme val="minor"/>
    </font>
    <font>
      <b/>
      <sz val="16"/>
      <color rgb="FF416189"/>
      <name val="Calibri"/>
      <family val="2"/>
      <scheme val="minor"/>
    </font>
    <font>
      <u/>
      <sz val="10"/>
      <color theme="1"/>
      <name val="Segoe UI"/>
      <family val="2"/>
    </font>
    <font>
      <b/>
      <i/>
      <u/>
      <sz val="14"/>
      <name val="Calibri"/>
      <family val="2"/>
      <scheme val="minor"/>
    </font>
    <font>
      <b/>
      <sz val="20"/>
      <color theme="1"/>
      <name val="Calibri"/>
      <family val="2"/>
      <scheme val="minor"/>
    </font>
    <font>
      <sz val="13"/>
      <color theme="1"/>
      <name val="Calibri"/>
      <family val="2"/>
      <scheme val="minor"/>
    </font>
    <font>
      <sz val="13"/>
      <name val="Calibri"/>
      <family val="2"/>
      <scheme val="minor"/>
    </font>
    <font>
      <b/>
      <sz val="13"/>
      <color theme="1"/>
      <name val="Calibri"/>
      <family val="2"/>
      <scheme val="minor"/>
    </font>
    <font>
      <b/>
      <sz val="18"/>
      <color theme="0"/>
      <name val="Calibri"/>
      <family val="2"/>
      <scheme val="minor"/>
    </font>
    <font>
      <sz val="18"/>
      <color theme="1"/>
      <name val="Calibri"/>
      <family val="2"/>
      <scheme val="minor"/>
    </font>
    <font>
      <b/>
      <i/>
      <sz val="12"/>
      <color theme="1"/>
      <name val="Calibri"/>
      <family val="2"/>
      <scheme val="minor"/>
    </font>
    <font>
      <i/>
      <sz val="11"/>
      <color rgb="FFFF0000"/>
      <name val="Calibri"/>
      <family val="2"/>
      <scheme val="minor"/>
    </font>
    <font>
      <b/>
      <i/>
      <sz val="10"/>
      <color theme="1" tint="0.34998626667073579"/>
      <name val="Calibri"/>
      <family val="2"/>
      <scheme val="minor"/>
    </font>
    <font>
      <b/>
      <sz val="13"/>
      <color rgb="FFFF0000"/>
      <name val="Calibri"/>
      <family val="2"/>
      <scheme val="minor"/>
    </font>
    <font>
      <b/>
      <sz val="13"/>
      <name val="Calibri"/>
      <family val="2"/>
      <scheme val="minor"/>
    </font>
    <font>
      <b/>
      <i/>
      <sz val="14"/>
      <color theme="0"/>
      <name val="Calibri"/>
      <family val="2"/>
      <scheme val="minor"/>
    </font>
    <font>
      <b/>
      <i/>
      <sz val="12"/>
      <color theme="0"/>
      <name val="Calibri"/>
      <family val="2"/>
      <scheme val="minor"/>
    </font>
    <font>
      <b/>
      <i/>
      <sz val="11"/>
      <color theme="0"/>
      <name val="Calibri"/>
      <family val="2"/>
      <scheme val="minor"/>
    </font>
    <font>
      <b/>
      <i/>
      <sz val="12"/>
      <color rgb="FFFF0000"/>
      <name val="Calibri"/>
      <family val="2"/>
      <scheme val="minor"/>
    </font>
    <font>
      <b/>
      <sz val="10"/>
      <color theme="1"/>
      <name val="Segoe UI"/>
      <family val="2"/>
    </font>
    <font>
      <b/>
      <sz val="8"/>
      <color theme="1"/>
      <name val="Calibri"/>
      <family val="2"/>
      <scheme val="minor"/>
    </font>
    <font>
      <b/>
      <i/>
      <sz val="11"/>
      <color rgb="FFFF0000"/>
      <name val="Calibri"/>
      <family val="2"/>
      <scheme val="minor"/>
    </font>
    <font>
      <i/>
      <sz val="11"/>
      <color theme="0" tint="-0.499984740745262"/>
      <name val="Calibri"/>
      <family val="2"/>
      <scheme val="minor"/>
    </font>
    <font>
      <b/>
      <sz val="16"/>
      <name val="Calibri"/>
      <family val="2"/>
      <scheme val="minor"/>
    </font>
    <font>
      <b/>
      <sz val="12"/>
      <color theme="1"/>
      <name val="Calibri"/>
      <family val="2"/>
      <scheme val="minor"/>
    </font>
    <font>
      <i/>
      <sz val="12"/>
      <color theme="1"/>
      <name val="Calibri"/>
      <family val="2"/>
      <scheme val="minor"/>
    </font>
    <font>
      <b/>
      <sz val="12"/>
      <color rgb="FFFF0000"/>
      <name val="Calibri"/>
      <family val="2"/>
      <scheme val="minor"/>
    </font>
    <font>
      <b/>
      <sz val="12"/>
      <color theme="0"/>
      <name val="Calibri"/>
      <family val="2"/>
      <scheme val="minor"/>
    </font>
    <font>
      <b/>
      <sz val="12"/>
      <name val="Calibri"/>
      <family val="2"/>
      <scheme val="minor"/>
    </font>
    <font>
      <sz val="10"/>
      <color theme="1"/>
      <name val="Calibri"/>
      <family val="2"/>
      <scheme val="minor"/>
    </font>
    <font>
      <b/>
      <sz val="10"/>
      <color theme="1"/>
      <name val="Calibri"/>
      <family val="2"/>
      <scheme val="minor"/>
    </font>
    <font>
      <b/>
      <i/>
      <u/>
      <sz val="12"/>
      <color theme="0"/>
      <name val="Calibri"/>
      <family val="2"/>
      <scheme val="minor"/>
    </font>
    <font>
      <i/>
      <sz val="11"/>
      <color theme="1"/>
      <name val="Calibri"/>
      <family val="2"/>
      <scheme val="minor"/>
    </font>
    <font>
      <b/>
      <i/>
      <sz val="11"/>
      <color theme="1"/>
      <name val="Calibri"/>
      <family val="2"/>
      <scheme val="minor"/>
    </font>
    <font>
      <b/>
      <sz val="10"/>
      <name val="Calibri"/>
      <family val="2"/>
      <scheme val="minor"/>
    </font>
    <font>
      <sz val="14"/>
      <color rgb="FFFF0000"/>
      <name val="Calibri"/>
      <family val="2"/>
      <scheme val="minor"/>
    </font>
    <font>
      <u/>
      <sz val="12"/>
      <color theme="1"/>
      <name val="Calibri"/>
      <family val="2"/>
      <scheme val="minor"/>
    </font>
    <font>
      <b/>
      <sz val="10"/>
      <color rgb="FFFF0000"/>
      <name val="Calibri"/>
      <family val="2"/>
      <scheme val="minor"/>
    </font>
    <font>
      <b/>
      <sz val="10"/>
      <color theme="0"/>
      <name val="Calibri"/>
      <family val="2"/>
      <scheme val="minor"/>
    </font>
    <font>
      <i/>
      <sz val="12"/>
      <color theme="0"/>
      <name val="Calibri"/>
      <family val="2"/>
      <scheme val="minor"/>
    </font>
    <font>
      <sz val="12"/>
      <name val="Calibri"/>
      <family val="2"/>
      <scheme val="minor"/>
    </font>
    <font>
      <b/>
      <sz val="9"/>
      <color rgb="FFFF0000"/>
      <name val="Calibri"/>
      <family val="2"/>
      <scheme val="minor"/>
    </font>
    <font>
      <b/>
      <sz val="16"/>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41618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80808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auto="1"/>
      </bottom>
      <diagonal/>
    </border>
    <border>
      <left/>
      <right style="thin">
        <color indexed="64"/>
      </right>
      <top style="thin">
        <color indexed="64"/>
      </top>
      <bottom style="medium">
        <color indexed="64"/>
      </bottom>
      <diagonal/>
    </border>
  </borders>
  <cellStyleXfs count="3">
    <xf numFmtId="0" fontId="0" fillId="0" borderId="0"/>
    <xf numFmtId="9" fontId="5" fillId="0" borderId="0" applyFont="0" applyFill="0" applyBorder="0" applyAlignment="0" applyProtection="0"/>
    <xf numFmtId="44" fontId="5" fillId="0" borderId="0" applyFont="0" applyFill="0" applyBorder="0" applyAlignment="0" applyProtection="0"/>
  </cellStyleXfs>
  <cellXfs count="733">
    <xf numFmtId="0" fontId="0" fillId="0" borderId="0" xfId="0"/>
    <xf numFmtId="0" fontId="0" fillId="0" borderId="0" xfId="0" applyBorder="1" applyProtection="1"/>
    <xf numFmtId="0" fontId="0" fillId="0" borderId="0" xfId="0" applyProtection="1"/>
    <xf numFmtId="165" fontId="0" fillId="0" borderId="0" xfId="0" applyNumberFormat="1" applyBorder="1" applyProtection="1"/>
    <xf numFmtId="165" fontId="9" fillId="0" borderId="0" xfId="0" applyNumberFormat="1" applyFont="1" applyBorder="1" applyAlignment="1" applyProtection="1">
      <alignment vertical="center"/>
    </xf>
    <xf numFmtId="165" fontId="9" fillId="0" borderId="0" xfId="0" applyNumberFormat="1" applyFont="1" applyBorder="1" applyAlignment="1" applyProtection="1">
      <alignment horizontal="center" vertical="center"/>
    </xf>
    <xf numFmtId="0" fontId="0" fillId="0" borderId="0" xfId="0" applyFill="1" applyBorder="1" applyProtection="1"/>
    <xf numFmtId="0" fontId="3" fillId="0" borderId="0" xfId="0" applyFont="1" applyProtection="1"/>
    <xf numFmtId="0" fontId="0" fillId="0" borderId="2" xfId="0" applyBorder="1" applyProtection="1"/>
    <xf numFmtId="0" fontId="0" fillId="0" borderId="4" xfId="0" applyBorder="1" applyProtection="1"/>
    <xf numFmtId="14" fontId="7" fillId="0" borderId="0" xfId="0" applyNumberFormat="1" applyFont="1" applyBorder="1" applyAlignment="1" applyProtection="1"/>
    <xf numFmtId="0" fontId="0" fillId="0" borderId="5" xfId="0" applyBorder="1" applyProtection="1"/>
    <xf numFmtId="0" fontId="9" fillId="0" borderId="0" xfId="0" applyFont="1" applyBorder="1" applyAlignment="1" applyProtection="1">
      <alignment horizontal="right"/>
    </xf>
    <xf numFmtId="164" fontId="9" fillId="0" borderId="0" xfId="0" applyNumberFormat="1" applyFont="1" applyBorder="1" applyProtection="1"/>
    <xf numFmtId="0" fontId="9" fillId="0" borderId="0" xfId="0" applyFont="1" applyBorder="1" applyAlignment="1" applyProtection="1">
      <alignment horizontal="center"/>
    </xf>
    <xf numFmtId="0" fontId="6" fillId="0" borderId="0" xfId="0" applyFont="1" applyBorder="1" applyAlignment="1" applyProtection="1"/>
    <xf numFmtId="0" fontId="6" fillId="0" borderId="5" xfId="0" applyFont="1" applyBorder="1" applyAlignment="1" applyProtection="1"/>
    <xf numFmtId="164" fontId="16" fillId="0" borderId="0" xfId="0" applyNumberFormat="1" applyFont="1" applyFill="1" applyBorder="1" applyAlignment="1" applyProtection="1">
      <alignment horizontal="center"/>
    </xf>
    <xf numFmtId="0" fontId="0" fillId="0" borderId="15" xfId="0" applyBorder="1" applyProtection="1"/>
    <xf numFmtId="0" fontId="0" fillId="0" borderId="11" xfId="0" applyBorder="1" applyProtection="1"/>
    <xf numFmtId="165" fontId="0" fillId="0" borderId="2" xfId="0" applyNumberFormat="1" applyBorder="1" applyProtection="1"/>
    <xf numFmtId="0" fontId="9" fillId="2" borderId="4" xfId="0" applyFont="1" applyFill="1" applyBorder="1" applyAlignment="1" applyProtection="1">
      <alignment vertical="center"/>
    </xf>
    <xf numFmtId="0" fontId="4" fillId="0" borderId="4" xfId="0" applyFont="1" applyBorder="1" applyProtection="1"/>
    <xf numFmtId="0" fontId="1" fillId="0" borderId="0" xfId="0" applyFont="1" applyAlignment="1">
      <alignment horizontal="left"/>
    </xf>
    <xf numFmtId="0" fontId="0" fillId="0" borderId="10" xfId="0" applyBorder="1" applyProtection="1"/>
    <xf numFmtId="0" fontId="1" fillId="0" borderId="0" xfId="0" applyFont="1" applyAlignment="1">
      <alignment horizontal="center"/>
    </xf>
    <xf numFmtId="14" fontId="0" fillId="0" borderId="0" xfId="0" applyNumberFormat="1" applyProtection="1"/>
    <xf numFmtId="164" fontId="9" fillId="0" borderId="0" xfId="0" applyNumberFormat="1" applyFont="1" applyBorder="1" applyAlignment="1" applyProtection="1">
      <alignment horizontal="center" vertical="center"/>
    </xf>
    <xf numFmtId="0" fontId="2" fillId="2" borderId="0" xfId="0" applyFont="1" applyFill="1" applyBorder="1" applyAlignment="1" applyProtection="1">
      <alignment horizontal="right"/>
    </xf>
    <xf numFmtId="0" fontId="2" fillId="0" borderId="17" xfId="0" applyFont="1" applyBorder="1" applyAlignment="1" applyProtection="1">
      <alignment wrapText="1"/>
    </xf>
    <xf numFmtId="0" fontId="3" fillId="0" borderId="9" xfId="0" applyFont="1" applyBorder="1" applyAlignment="1" applyProtection="1">
      <alignment wrapText="1"/>
    </xf>
    <xf numFmtId="0" fontId="0" fillId="0" borderId="5" xfId="0" applyBorder="1" applyAlignment="1" applyProtection="1"/>
    <xf numFmtId="0" fontId="2" fillId="4" borderId="12" xfId="0" applyFont="1" applyFill="1" applyBorder="1" applyAlignment="1" applyProtection="1">
      <alignment horizontal="left"/>
      <protection locked="0"/>
    </xf>
    <xf numFmtId="0" fontId="0" fillId="0" borderId="5" xfId="0" applyBorder="1" applyAlignment="1" applyProtection="1">
      <alignment horizontal="left" vertical="top" wrapText="1"/>
    </xf>
    <xf numFmtId="0" fontId="9" fillId="2" borderId="0" xfId="0" applyFont="1" applyFill="1" applyBorder="1" applyAlignment="1" applyProtection="1">
      <alignment wrapText="1"/>
    </xf>
    <xf numFmtId="0" fontId="0" fillId="0" borderId="0" xfId="0" applyBorder="1" applyAlignment="1" applyProtection="1">
      <alignment wrapText="1"/>
    </xf>
    <xf numFmtId="0" fontId="0" fillId="0" borderId="0" xfId="0" applyBorder="1" applyAlignment="1" applyProtection="1">
      <alignment horizontal="center"/>
    </xf>
    <xf numFmtId="0" fontId="12"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9" fillId="2" borderId="10" xfId="0" applyFont="1" applyFill="1" applyBorder="1" applyAlignment="1" applyProtection="1">
      <alignment wrapText="1"/>
    </xf>
    <xf numFmtId="165" fontId="9" fillId="0" borderId="10" xfId="0" applyNumberFormat="1" applyFont="1" applyBorder="1" applyAlignment="1" applyProtection="1">
      <alignment horizontal="center" vertical="center"/>
    </xf>
    <xf numFmtId="165" fontId="0" fillId="0" borderId="10" xfId="0" applyNumberFormat="1" applyBorder="1" applyProtection="1"/>
    <xf numFmtId="0" fontId="12" fillId="0" borderId="0"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0" fillId="0" borderId="9" xfId="0" applyBorder="1" applyProtection="1"/>
    <xf numFmtId="0" fontId="6" fillId="0" borderId="10" xfId="0" applyFont="1" applyFill="1" applyBorder="1" applyAlignment="1" applyProtection="1"/>
    <xf numFmtId="0" fontId="0" fillId="0" borderId="10" xfId="0" applyBorder="1" applyAlignment="1" applyProtection="1">
      <alignment wrapText="1"/>
    </xf>
    <xf numFmtId="0" fontId="0" fillId="0" borderId="11" xfId="0" applyBorder="1" applyAlignment="1" applyProtection="1">
      <alignment wrapText="1"/>
    </xf>
    <xf numFmtId="0" fontId="8" fillId="2" borderId="0" xfId="0" applyFont="1" applyFill="1" applyBorder="1" applyAlignment="1" applyProtection="1"/>
    <xf numFmtId="0" fontId="0" fillId="0" borderId="0" xfId="0" applyBorder="1" applyAlignment="1" applyProtection="1">
      <alignment vertical="center"/>
    </xf>
    <xf numFmtId="0" fontId="8" fillId="0" borderId="0" xfId="0" applyFont="1" applyFill="1" applyBorder="1" applyProtection="1"/>
    <xf numFmtId="164" fontId="14" fillId="0" borderId="0" xfId="0" applyNumberFormat="1" applyFont="1" applyFill="1" applyBorder="1" applyAlignment="1" applyProtection="1">
      <alignment horizontal="center" vertical="center"/>
    </xf>
    <xf numFmtId="164" fontId="14" fillId="0" borderId="0" xfId="0" applyNumberFormat="1" applyFont="1" applyFill="1" applyBorder="1" applyAlignment="1" applyProtection="1">
      <alignment horizontal="center"/>
    </xf>
    <xf numFmtId="0" fontId="10" fillId="2" borderId="0" xfId="0" applyFont="1" applyFill="1" applyBorder="1" applyAlignment="1" applyProtection="1">
      <alignment vertical="center"/>
    </xf>
    <xf numFmtId="0" fontId="9" fillId="2" borderId="0" xfId="0" applyFont="1" applyFill="1" applyBorder="1" applyAlignment="1" applyProtection="1">
      <alignment horizontal="right"/>
    </xf>
    <xf numFmtId="14" fontId="16" fillId="2" borderId="0" xfId="0" applyNumberFormat="1" applyFont="1" applyFill="1" applyBorder="1" applyAlignment="1" applyProtection="1">
      <alignment horizontal="left"/>
    </xf>
    <xf numFmtId="14" fontId="15" fillId="2" borderId="0" xfId="0" applyNumberFormat="1" applyFont="1" applyFill="1" applyBorder="1" applyAlignment="1" applyProtection="1">
      <alignment horizontal="left"/>
    </xf>
    <xf numFmtId="0" fontId="0" fillId="0" borderId="5" xfId="0" applyBorder="1" applyAlignment="1" applyProtection="1">
      <alignment vertical="top" wrapText="1"/>
    </xf>
    <xf numFmtId="0" fontId="0" fillId="0" borderId="0" xfId="0" applyBorder="1" applyAlignment="1" applyProtection="1">
      <alignment vertical="top" wrapText="1"/>
    </xf>
    <xf numFmtId="0" fontId="29" fillId="0" borderId="0" xfId="0" applyFont="1" applyBorder="1" applyAlignment="1" applyProtection="1">
      <alignment vertical="center" wrapText="1"/>
    </xf>
    <xf numFmtId="0" fontId="0" fillId="0" borderId="11" xfId="0" applyBorder="1" applyAlignment="1" applyProtection="1">
      <alignment vertical="top" wrapText="1"/>
    </xf>
    <xf numFmtId="0" fontId="0" fillId="0" borderId="2" xfId="0" applyBorder="1" applyAlignment="1" applyProtection="1">
      <alignment wrapText="1"/>
    </xf>
    <xf numFmtId="0" fontId="17" fillId="2" borderId="4"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1" fillId="2" borderId="0" xfId="0" applyFont="1" applyFill="1" applyBorder="1" applyAlignment="1" applyProtection="1">
      <alignment vertical="center"/>
    </xf>
    <xf numFmtId="0" fontId="24" fillId="0" borderId="0" xfId="0" applyFont="1" applyBorder="1" applyAlignment="1" applyProtection="1">
      <alignment vertical="center"/>
    </xf>
    <xf numFmtId="0" fontId="0" fillId="2" borderId="0" xfId="0" applyFill="1" applyProtection="1"/>
    <xf numFmtId="0" fontId="0" fillId="2" borderId="0" xfId="0" applyFill="1" applyBorder="1" applyProtection="1"/>
    <xf numFmtId="0" fontId="30" fillId="0" borderId="0" xfId="0" applyFont="1" applyBorder="1" applyAlignment="1" applyProtection="1">
      <alignment vertical="top" wrapText="1"/>
    </xf>
    <xf numFmtId="0" fontId="9" fillId="0" borderId="4" xfId="0" applyFont="1" applyBorder="1" applyAlignment="1" applyProtection="1">
      <alignment horizontal="center" wrapText="1"/>
    </xf>
    <xf numFmtId="0" fontId="20" fillId="0" borderId="5" xfId="0" applyFont="1" applyBorder="1" applyAlignment="1" applyProtection="1">
      <alignment vertical="top" wrapText="1"/>
    </xf>
    <xf numFmtId="0" fontId="17" fillId="3" borderId="0"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165" fontId="32" fillId="0" borderId="0" xfId="0" applyNumberFormat="1" applyFont="1" applyBorder="1" applyAlignment="1" applyProtection="1">
      <alignment vertical="center" wrapText="1"/>
    </xf>
    <xf numFmtId="0" fontId="0" fillId="0" borderId="0" xfId="0"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9" fillId="0" borderId="0" xfId="0" applyFont="1" applyFill="1" applyBorder="1" applyAlignment="1" applyProtection="1">
      <alignment horizontal="center" vertical="center"/>
    </xf>
    <xf numFmtId="164" fontId="9" fillId="0" borderId="0" xfId="0" applyNumberFormat="1" applyFont="1" applyFill="1" applyBorder="1" applyAlignment="1" applyProtection="1">
      <alignment horizontal="center" vertical="center"/>
    </xf>
    <xf numFmtId="0" fontId="0" fillId="0" borderId="0" xfId="0" applyAlignment="1" applyProtection="1">
      <alignment vertical="center"/>
    </xf>
    <xf numFmtId="0" fontId="0" fillId="0" borderId="4" xfId="0" applyBorder="1" applyAlignment="1" applyProtection="1">
      <alignment vertical="center"/>
    </xf>
    <xf numFmtId="0" fontId="9" fillId="0" borderId="0" xfId="0" applyFont="1" applyBorder="1" applyAlignment="1" applyProtection="1">
      <alignment horizontal="right" vertical="center"/>
    </xf>
    <xf numFmtId="164" fontId="9" fillId="0" borderId="0" xfId="0" applyNumberFormat="1" applyFont="1" applyBorder="1" applyAlignment="1" applyProtection="1">
      <alignment vertical="center"/>
    </xf>
    <xf numFmtId="0" fontId="0" fillId="0" borderId="5" xfId="0" applyBorder="1" applyAlignment="1" applyProtection="1">
      <alignment vertical="center"/>
    </xf>
    <xf numFmtId="0" fontId="0" fillId="0" borderId="0" xfId="0" applyAlignment="1" applyProtection="1"/>
    <xf numFmtId="0" fontId="40" fillId="2" borderId="0" xfId="0" applyFont="1" applyFill="1" applyBorder="1" applyAlignment="1" applyProtection="1">
      <alignment horizontal="center" vertical="center"/>
    </xf>
    <xf numFmtId="0" fontId="0" fillId="0" borderId="10" xfId="0" applyBorder="1" applyAlignment="1" applyProtection="1"/>
    <xf numFmtId="165" fontId="38" fillId="0" borderId="0" xfId="0" applyNumberFormat="1" applyFont="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xf numFmtId="14" fontId="7" fillId="0" borderId="0" xfId="0" applyNumberFormat="1" applyFont="1" applyBorder="1" applyAlignment="1" applyProtection="1">
      <alignment vertical="center"/>
    </xf>
    <xf numFmtId="0" fontId="0" fillId="2" borderId="0" xfId="0" applyFill="1" applyBorder="1" applyAlignment="1" applyProtection="1">
      <alignment horizontal="center" vertical="center"/>
    </xf>
    <xf numFmtId="0" fontId="0" fillId="0" borderId="5" xfId="0" applyBorder="1" applyAlignment="1" applyProtection="1">
      <alignment horizontal="left" vertical="center"/>
    </xf>
    <xf numFmtId="0" fontId="0" fillId="0" borderId="0" xfId="0" applyAlignment="1" applyProtection="1">
      <alignment horizontal="left" vertical="center"/>
    </xf>
    <xf numFmtId="0" fontId="9" fillId="2" borderId="4" xfId="0" applyFont="1" applyFill="1" applyBorder="1" applyAlignment="1" applyProtection="1">
      <alignment horizontal="left" vertical="center" indent="3"/>
    </xf>
    <xf numFmtId="0" fontId="0" fillId="0" borderId="25" xfId="0" applyBorder="1" applyProtection="1"/>
    <xf numFmtId="0" fontId="0" fillId="0" borderId="5" xfId="0" applyFill="1" applyBorder="1" applyAlignment="1" applyProtection="1">
      <alignment horizontal="center"/>
    </xf>
    <xf numFmtId="0" fontId="0" fillId="0" borderId="4" xfId="0" applyFill="1" applyBorder="1" applyProtection="1"/>
    <xf numFmtId="165" fontId="39" fillId="2" borderId="4" xfId="0" applyNumberFormat="1" applyFont="1" applyFill="1" applyBorder="1" applyAlignment="1" applyProtection="1">
      <alignment vertical="center" wrapText="1"/>
    </xf>
    <xf numFmtId="165" fontId="39" fillId="2" borderId="0" xfId="0" applyNumberFormat="1" applyFont="1" applyFill="1" applyBorder="1" applyAlignment="1" applyProtection="1">
      <alignment vertical="center" wrapText="1"/>
    </xf>
    <xf numFmtId="0" fontId="6" fillId="0" borderId="0" xfId="0" applyFont="1" applyBorder="1" applyAlignment="1" applyProtection="1">
      <alignment horizontal="center"/>
    </xf>
    <xf numFmtId="0" fontId="42" fillId="8" borderId="16" xfId="0" applyFont="1" applyFill="1" applyBorder="1" applyAlignment="1" applyProtection="1">
      <alignment horizontal="center" vertical="center"/>
    </xf>
    <xf numFmtId="0" fontId="42" fillId="2" borderId="0" xfId="0" applyFont="1" applyFill="1" applyBorder="1" applyAlignment="1" applyProtection="1">
      <alignment horizontal="center" vertical="center"/>
    </xf>
    <xf numFmtId="0" fontId="20" fillId="0" borderId="4" xfId="0" applyFont="1" applyBorder="1" applyAlignment="1" applyProtection="1">
      <alignment vertical="center" wrapText="1"/>
    </xf>
    <xf numFmtId="0" fontId="20" fillId="0" borderId="0" xfId="0" applyFont="1" applyBorder="1" applyAlignment="1" applyProtection="1">
      <alignment vertical="center" wrapText="1"/>
    </xf>
    <xf numFmtId="0" fontId="10" fillId="5" borderId="27"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xf>
    <xf numFmtId="0" fontId="34" fillId="2" borderId="5" xfId="0" applyFont="1" applyFill="1" applyBorder="1" applyAlignment="1" applyProtection="1">
      <alignment horizontal="center" vertical="center"/>
    </xf>
    <xf numFmtId="0" fontId="34" fillId="2" borderId="2" xfId="0" applyFont="1" applyFill="1" applyBorder="1" applyAlignment="1" applyProtection="1">
      <alignment horizontal="center" vertical="center"/>
    </xf>
    <xf numFmtId="164" fontId="9" fillId="0" borderId="0" xfId="0" applyNumberFormat="1" applyFont="1" applyBorder="1" applyAlignment="1" applyProtection="1">
      <alignment horizontal="left"/>
    </xf>
    <xf numFmtId="0" fontId="9" fillId="2" borderId="4" xfId="0" applyFont="1" applyFill="1" applyBorder="1" applyAlignment="1" applyProtection="1">
      <alignment wrapText="1"/>
    </xf>
    <xf numFmtId="0" fontId="1" fillId="0" borderId="16" xfId="0" applyFont="1" applyBorder="1" applyAlignment="1">
      <alignment horizontal="left" wrapText="1"/>
    </xf>
    <xf numFmtId="0" fontId="44" fillId="0" borderId="0" xfId="0" applyFont="1" applyAlignment="1">
      <alignment horizontal="left" vertical="center"/>
    </xf>
    <xf numFmtId="9" fontId="2" fillId="2" borderId="0" xfId="1"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168" fontId="9" fillId="6" borderId="16" xfId="2" applyNumberFormat="1" applyFont="1" applyFill="1" applyBorder="1" applyAlignment="1" applyProtection="1">
      <alignment horizontal="center" vertical="center"/>
    </xf>
    <xf numFmtId="168" fontId="4" fillId="4" borderId="16" xfId="2" applyNumberFormat="1" applyFont="1" applyFill="1" applyBorder="1" applyAlignment="1" applyProtection="1">
      <alignment horizontal="center"/>
      <protection locked="0"/>
    </xf>
    <xf numFmtId="168" fontId="2" fillId="4" borderId="16" xfId="2" applyNumberFormat="1" applyFont="1" applyFill="1" applyBorder="1" applyAlignment="1" applyProtection="1">
      <alignment horizontal="center"/>
      <protection locked="0"/>
    </xf>
    <xf numFmtId="168" fontId="9" fillId="0" borderId="0" xfId="2" applyNumberFormat="1" applyFont="1" applyBorder="1" applyAlignment="1" applyProtection="1">
      <alignment horizontal="center" vertical="center"/>
    </xf>
    <xf numFmtId="168" fontId="9" fillId="4" borderId="16" xfId="2"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left"/>
    </xf>
    <xf numFmtId="0" fontId="4" fillId="0" borderId="0" xfId="0" applyFont="1" applyBorder="1" applyAlignment="1" applyProtection="1">
      <alignment horizontal="left"/>
    </xf>
    <xf numFmtId="0" fontId="9" fillId="2" borderId="0" xfId="0" applyFont="1" applyFill="1" applyBorder="1" applyAlignment="1" applyProtection="1">
      <alignment horizontal="right" vertical="center"/>
    </xf>
    <xf numFmtId="0" fontId="1" fillId="0" borderId="16" xfId="0" applyFont="1" applyBorder="1" applyAlignment="1">
      <alignment horizontal="left"/>
    </xf>
    <xf numFmtId="0" fontId="44" fillId="0" borderId="16" xfId="0" applyFont="1" applyBorder="1" applyAlignment="1">
      <alignment horizontal="left" vertical="center"/>
    </xf>
    <xf numFmtId="169" fontId="1" fillId="0" borderId="0" xfId="1" applyNumberFormat="1" applyFont="1" applyAlignment="1">
      <alignment horizontal="left"/>
    </xf>
    <xf numFmtId="169" fontId="1" fillId="9" borderId="0" xfId="1" applyNumberFormat="1" applyFont="1" applyFill="1" applyAlignment="1">
      <alignment horizontal="left"/>
    </xf>
    <xf numFmtId="9" fontId="1" fillId="0" borderId="16" xfId="0" applyNumberFormat="1" applyFont="1" applyBorder="1" applyAlignment="1">
      <alignment horizontal="left"/>
    </xf>
    <xf numFmtId="44" fontId="0" fillId="0" borderId="0" xfId="0" applyNumberFormat="1" applyProtection="1"/>
    <xf numFmtId="44" fontId="0" fillId="0" borderId="0" xfId="0" applyNumberFormat="1" applyBorder="1" applyProtection="1"/>
    <xf numFmtId="169" fontId="1" fillId="0" borderId="0" xfId="1" quotePrefix="1" applyNumberFormat="1" applyFont="1" applyAlignment="1">
      <alignment horizontal="left"/>
    </xf>
    <xf numFmtId="169" fontId="1" fillId="9" borderId="0" xfId="1" quotePrefix="1" applyNumberFormat="1" applyFont="1" applyFill="1" applyAlignment="1">
      <alignment horizontal="left"/>
    </xf>
    <xf numFmtId="14" fontId="2" fillId="2" borderId="0" xfId="0" applyNumberFormat="1" applyFont="1" applyFill="1" applyBorder="1" applyAlignment="1" applyProtection="1">
      <alignment horizontal="center" vertical="center"/>
    </xf>
    <xf numFmtId="0" fontId="0" fillId="3" borderId="4" xfId="0" applyFill="1" applyBorder="1" applyProtection="1"/>
    <xf numFmtId="0" fontId="0" fillId="2" borderId="0" xfId="0" applyFill="1" applyBorder="1" applyAlignment="1" applyProtection="1">
      <alignment vertical="center"/>
    </xf>
    <xf numFmtId="0" fontId="9" fillId="2" borderId="0" xfId="0" applyFont="1" applyFill="1" applyBorder="1" applyAlignment="1" applyProtection="1">
      <alignment horizontal="right" vertical="center"/>
    </xf>
    <xf numFmtId="168" fontId="9" fillId="2" borderId="0" xfId="2" applyNumberFormat="1" applyFont="1" applyFill="1" applyBorder="1" applyAlignment="1" applyProtection="1">
      <alignment horizontal="center" vertical="center"/>
    </xf>
    <xf numFmtId="0" fontId="33" fillId="2" borderId="1"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0" fillId="0" borderId="5" xfId="0" applyBorder="1"/>
    <xf numFmtId="0" fontId="9"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168" fontId="48" fillId="10" borderId="16" xfId="2" applyNumberFormat="1" applyFont="1" applyFill="1" applyBorder="1" applyAlignment="1" applyProtection="1">
      <alignment horizontal="center" vertical="center"/>
    </xf>
    <xf numFmtId="0" fontId="13" fillId="2" borderId="0" xfId="0" applyFont="1" applyFill="1" applyBorder="1" applyAlignment="1" applyProtection="1">
      <alignment horizontal="left" vertical="center"/>
    </xf>
    <xf numFmtId="164" fontId="46" fillId="0" borderId="0" xfId="0" applyNumberFormat="1" applyFont="1" applyBorder="1" applyAlignment="1" applyProtection="1">
      <alignment horizontal="center" vertical="top"/>
    </xf>
    <xf numFmtId="0" fontId="32" fillId="0" borderId="0" xfId="0" applyFont="1" applyBorder="1" applyAlignment="1" applyProtection="1">
      <alignment vertical="center" wrapText="1"/>
    </xf>
    <xf numFmtId="0" fontId="20"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36" fillId="0" borderId="0" xfId="0" applyFont="1" applyBorder="1" applyAlignment="1" applyProtection="1">
      <alignment horizontal="center" vertical="top"/>
    </xf>
    <xf numFmtId="0" fontId="9" fillId="2" borderId="0" xfId="0" applyFont="1" applyFill="1" applyBorder="1" applyAlignment="1" applyProtection="1">
      <alignment horizontal="right" vertical="center"/>
    </xf>
    <xf numFmtId="0" fontId="14" fillId="0" borderId="0" xfId="0" applyFont="1" applyBorder="1" applyAlignment="1" applyProtection="1">
      <alignment vertical="center"/>
    </xf>
    <xf numFmtId="0" fontId="49" fillId="2" borderId="4" xfId="0" applyFont="1" applyFill="1" applyBorder="1" applyAlignment="1" applyProtection="1">
      <alignment horizontal="left" vertical="center" indent="3"/>
    </xf>
    <xf numFmtId="0" fontId="14"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xf>
    <xf numFmtId="9" fontId="14" fillId="2" borderId="0" xfId="1" applyFont="1" applyFill="1" applyBorder="1" applyAlignment="1" applyProtection="1">
      <alignment horizontal="center" vertical="center"/>
    </xf>
    <xf numFmtId="0" fontId="14" fillId="0" borderId="4" xfId="0" applyFont="1" applyBorder="1" applyAlignment="1" applyProtection="1">
      <alignment vertical="center"/>
    </xf>
    <xf numFmtId="0" fontId="14" fillId="0" borderId="5" xfId="0" applyFont="1" applyBorder="1" applyAlignment="1" applyProtection="1">
      <alignment vertical="center"/>
    </xf>
    <xf numFmtId="0" fontId="14" fillId="0" borderId="0" xfId="0" applyFont="1" applyAlignment="1" applyProtection="1">
      <alignment vertical="center"/>
    </xf>
    <xf numFmtId="0" fontId="14" fillId="0" borderId="5" xfId="0" applyFont="1" applyBorder="1" applyAlignment="1" applyProtection="1">
      <alignment horizontal="left" vertical="center"/>
    </xf>
    <xf numFmtId="0" fontId="14" fillId="0" borderId="0" xfId="0" applyFont="1" applyAlignment="1" applyProtection="1">
      <alignment horizontal="left" vertical="center"/>
    </xf>
    <xf numFmtId="0" fontId="51" fillId="0" borderId="0" xfId="0" applyFont="1" applyBorder="1" applyAlignment="1" applyProtection="1">
      <alignment horizontal="center" vertical="center" wrapText="1"/>
    </xf>
    <xf numFmtId="0" fontId="43" fillId="2" borderId="0" xfId="0" applyFont="1" applyFill="1" applyBorder="1" applyAlignment="1" applyProtection="1">
      <alignment horizontal="center" vertical="center" wrapText="1"/>
    </xf>
    <xf numFmtId="0" fontId="14" fillId="2"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164" fontId="10" fillId="0" borderId="0" xfId="0" applyNumberFormat="1" applyFont="1" applyBorder="1" applyAlignment="1" applyProtection="1">
      <alignment vertical="center"/>
    </xf>
    <xf numFmtId="164" fontId="9" fillId="0" borderId="0" xfId="0" applyNumberFormat="1" applyFont="1" applyBorder="1" applyAlignment="1" applyProtection="1">
      <alignment horizontal="center"/>
    </xf>
    <xf numFmtId="164" fontId="10" fillId="0" borderId="0" xfId="0" applyNumberFormat="1" applyFont="1" applyBorder="1" applyAlignment="1" applyProtection="1">
      <alignment horizontal="center" vertical="center"/>
    </xf>
    <xf numFmtId="0" fontId="49" fillId="0" borderId="0" xfId="0" applyFont="1" applyBorder="1" applyAlignment="1" applyProtection="1">
      <alignment vertical="center"/>
    </xf>
    <xf numFmtId="0" fontId="0" fillId="0" borderId="0" xfId="0" applyBorder="1"/>
    <xf numFmtId="0" fontId="14" fillId="0" borderId="0" xfId="0" applyFont="1" applyBorder="1" applyProtection="1"/>
    <xf numFmtId="0" fontId="14" fillId="4" borderId="16" xfId="0" applyFont="1" applyFill="1" applyBorder="1" applyProtection="1">
      <protection locked="0"/>
    </xf>
    <xf numFmtId="0" fontId="14" fillId="2" borderId="0" xfId="0" applyFont="1" applyFill="1" applyBorder="1" applyProtection="1">
      <protection locked="0"/>
    </xf>
    <xf numFmtId="0" fontId="14" fillId="0" borderId="0" xfId="0" applyFont="1" applyBorder="1"/>
    <xf numFmtId="0" fontId="0" fillId="2" borderId="0" xfId="0" applyFill="1" applyBorder="1"/>
    <xf numFmtId="0" fontId="2" fillId="0" borderId="0" xfId="0" applyFont="1" applyProtection="1"/>
    <xf numFmtId="0" fontId="25" fillId="0" borderId="0" xfId="0" applyFont="1" applyBorder="1" applyAlignment="1" applyProtection="1">
      <alignment vertical="center"/>
    </xf>
    <xf numFmtId="165" fontId="26" fillId="0" borderId="0" xfId="0" applyNumberFormat="1" applyFont="1" applyFill="1" applyBorder="1" applyAlignment="1" applyProtection="1">
      <alignment horizontal="center" vertical="center"/>
    </xf>
    <xf numFmtId="0" fontId="0" fillId="0" borderId="0" xfId="0" applyBorder="1" applyAlignment="1">
      <alignment horizontal="center"/>
    </xf>
    <xf numFmtId="0" fontId="14" fillId="2" borderId="0" xfId="0" applyFont="1" applyFill="1" applyBorder="1" applyAlignment="1" applyProtection="1">
      <alignment horizontal="right"/>
    </xf>
    <xf numFmtId="0" fontId="6" fillId="2" borderId="0" xfId="0" applyFont="1" applyFill="1" applyBorder="1" applyAlignment="1">
      <alignment horizontal="center" vertical="center"/>
    </xf>
    <xf numFmtId="0" fontId="14" fillId="0" borderId="0" xfId="0" applyFont="1" applyBorder="1" applyAlignment="1">
      <alignment horizontal="center"/>
    </xf>
    <xf numFmtId="0" fontId="0" fillId="0" borderId="13" xfId="0" applyBorder="1"/>
    <xf numFmtId="0" fontId="9" fillId="0" borderId="0" xfId="0" applyFont="1" applyBorder="1" applyAlignment="1">
      <alignment horizontal="right" vertical="center"/>
    </xf>
    <xf numFmtId="0" fontId="6" fillId="2" borderId="14" xfId="0" applyFont="1" applyFill="1" applyBorder="1" applyAlignment="1">
      <alignment horizontal="center" vertical="center"/>
    </xf>
    <xf numFmtId="168" fontId="9" fillId="2" borderId="14" xfId="2" applyNumberFormat="1" applyFont="1" applyFill="1" applyBorder="1" applyAlignment="1" applyProtection="1">
      <alignment horizontal="center" vertical="center"/>
    </xf>
    <xf numFmtId="168" fontId="9" fillId="0" borderId="14" xfId="2" applyNumberFormat="1" applyFont="1" applyBorder="1" applyAlignment="1" applyProtection="1">
      <alignment horizontal="center" vertical="center"/>
    </xf>
    <xf numFmtId="0" fontId="20" fillId="0" borderId="0" xfId="0" applyFont="1" applyBorder="1" applyAlignment="1" applyProtection="1">
      <alignment wrapText="1"/>
    </xf>
    <xf numFmtId="0" fontId="20" fillId="0" borderId="0" xfId="0" applyFont="1" applyBorder="1" applyAlignment="1" applyProtection="1"/>
    <xf numFmtId="0" fontId="11" fillId="2" borderId="14" xfId="0" applyFont="1" applyFill="1" applyBorder="1" applyAlignment="1" applyProtection="1">
      <alignment vertical="center"/>
    </xf>
    <xf numFmtId="0" fontId="0" fillId="2" borderId="13" xfId="0" applyFill="1" applyBorder="1"/>
    <xf numFmtId="0" fontId="20" fillId="0" borderId="14" xfId="0" applyFont="1" applyBorder="1" applyAlignment="1" applyProtection="1">
      <alignment wrapText="1"/>
    </xf>
    <xf numFmtId="0" fontId="0" fillId="0" borderId="23" xfId="0" applyBorder="1"/>
    <xf numFmtId="0" fontId="0" fillId="0" borderId="12" xfId="0" applyBorder="1"/>
    <xf numFmtId="0" fontId="11" fillId="2" borderId="24" xfId="0" applyFont="1" applyFill="1" applyBorder="1" applyAlignment="1" applyProtection="1">
      <alignment vertical="center"/>
    </xf>
    <xf numFmtId="0" fontId="20" fillId="0" borderId="0" xfId="0" applyFont="1" applyBorder="1" applyProtection="1"/>
    <xf numFmtId="0" fontId="0" fillId="0" borderId="12" xfId="0" applyBorder="1" applyAlignment="1">
      <alignment horizontal="center"/>
    </xf>
    <xf numFmtId="0" fontId="0" fillId="2" borderId="13" xfId="0" applyFill="1" applyBorder="1" applyAlignment="1"/>
    <xf numFmtId="0" fontId="0" fillId="0" borderId="14" xfId="0" applyBorder="1" applyAlignment="1"/>
    <xf numFmtId="0" fontId="47" fillId="0" borderId="0" xfId="0" applyFont="1" applyAlignment="1" applyProtection="1">
      <alignment vertical="top" wrapText="1"/>
      <protection locked="0"/>
    </xf>
    <xf numFmtId="168" fontId="9" fillId="0" borderId="12" xfId="2" applyNumberFormat="1" applyFont="1" applyBorder="1" applyAlignment="1" applyProtection="1">
      <alignment horizontal="center" vertical="center"/>
    </xf>
    <xf numFmtId="0" fontId="0" fillId="0" borderId="14" xfId="0" applyBorder="1" applyProtection="1"/>
    <xf numFmtId="0" fontId="49" fillId="2" borderId="0" xfId="0" applyFont="1" applyFill="1" applyBorder="1" applyAlignment="1" applyProtection="1">
      <alignment vertical="top"/>
    </xf>
    <xf numFmtId="0" fontId="14" fillId="2" borderId="0" xfId="0" applyFont="1" applyFill="1" applyBorder="1" applyAlignment="1" applyProtection="1">
      <alignment vertical="center"/>
      <protection locked="0"/>
    </xf>
    <xf numFmtId="0" fontId="49" fillId="2" borderId="0" xfId="0" applyFont="1" applyFill="1" applyBorder="1" applyAlignment="1" applyProtection="1">
      <alignment vertical="top" wrapText="1"/>
    </xf>
    <xf numFmtId="0" fontId="14" fillId="0" borderId="0" xfId="0" applyFont="1" applyBorder="1" applyAlignment="1" applyProtection="1">
      <alignment horizontal="left" vertical="center"/>
    </xf>
    <xf numFmtId="0" fontId="14" fillId="2" borderId="0" xfId="0" applyFont="1" applyFill="1" applyBorder="1" applyAlignment="1" applyProtection="1">
      <alignment horizontal="left" vertical="center"/>
    </xf>
    <xf numFmtId="9" fontId="14" fillId="2" borderId="0" xfId="1" applyFont="1" applyFill="1" applyBorder="1" applyAlignment="1" applyProtection="1">
      <alignment vertical="center"/>
      <protection locked="0"/>
    </xf>
    <xf numFmtId="0" fontId="50" fillId="0" borderId="0" xfId="0" applyFont="1" applyBorder="1" applyAlignment="1" applyProtection="1">
      <alignment vertical="center" wrapText="1"/>
    </xf>
    <xf numFmtId="166" fontId="49" fillId="3" borderId="16" xfId="0" applyNumberFormat="1" applyFont="1" applyFill="1" applyBorder="1" applyAlignment="1" applyProtection="1">
      <alignment horizontal="center" vertical="center"/>
    </xf>
    <xf numFmtId="167" fontId="49" fillId="3" borderId="16" xfId="0" applyNumberFormat="1" applyFont="1" applyFill="1" applyBorder="1" applyAlignment="1" applyProtection="1">
      <alignment horizontal="center" vertical="center"/>
    </xf>
    <xf numFmtId="0" fontId="0" fillId="0" borderId="12" xfId="0" applyBorder="1" applyAlignment="1" applyProtection="1">
      <alignment horizontal="center"/>
    </xf>
    <xf numFmtId="0" fontId="9" fillId="0" borderId="0" xfId="0" applyNumberFormat="1" applyFont="1" applyBorder="1" applyAlignment="1" applyProtection="1">
      <alignment vertical="center"/>
    </xf>
    <xf numFmtId="0" fontId="9" fillId="0" borderId="0" xfId="0" applyNumberFormat="1" applyFont="1" applyBorder="1" applyAlignment="1" applyProtection="1">
      <alignment horizontal="left" vertical="center"/>
    </xf>
    <xf numFmtId="0" fontId="0" fillId="2" borderId="14" xfId="0" applyFill="1" applyBorder="1" applyAlignment="1">
      <alignment horizontal="center"/>
    </xf>
    <xf numFmtId="0" fontId="0" fillId="2" borderId="14" xfId="0" applyFill="1" applyBorder="1" applyAlignment="1">
      <alignment horizontal="center" wrapText="1"/>
    </xf>
    <xf numFmtId="168" fontId="2" fillId="2" borderId="14" xfId="2" applyNumberFormat="1" applyFont="1" applyFill="1" applyBorder="1" applyAlignment="1" applyProtection="1">
      <alignment horizontal="center"/>
      <protection locked="0"/>
    </xf>
    <xf numFmtId="0" fontId="9" fillId="2" borderId="14" xfId="2" applyNumberFormat="1" applyFont="1" applyFill="1" applyBorder="1" applyAlignment="1" applyProtection="1">
      <alignment horizontal="center" vertical="center"/>
    </xf>
    <xf numFmtId="0" fontId="14" fillId="2" borderId="8" xfId="0" applyFont="1" applyFill="1" applyBorder="1" applyAlignment="1" applyProtection="1">
      <alignment horizontal="center" vertical="center"/>
      <protection locked="0"/>
    </xf>
    <xf numFmtId="0" fontId="35" fillId="0" borderId="0" xfId="0" applyFont="1" applyBorder="1" applyAlignment="1" applyProtection="1">
      <alignment horizontal="left" vertical="center" wrapText="1" indent="1"/>
    </xf>
    <xf numFmtId="0" fontId="0" fillId="2" borderId="9" xfId="0" applyFill="1" applyBorder="1"/>
    <xf numFmtId="0" fontId="0" fillId="0" borderId="1" xfId="0" applyBorder="1" applyAlignment="1" applyProtection="1">
      <alignment horizontal="left"/>
    </xf>
    <xf numFmtId="0" fontId="0" fillId="0" borderId="2" xfId="0" applyBorder="1" applyAlignment="1" applyProtection="1">
      <alignment horizontal="left"/>
    </xf>
    <xf numFmtId="0" fontId="0" fillId="0" borderId="2" xfId="0" applyBorder="1" applyAlignment="1" applyProtection="1"/>
    <xf numFmtId="0" fontId="0" fillId="0" borderId="3" xfId="0" applyBorder="1" applyProtection="1"/>
    <xf numFmtId="0" fontId="49" fillId="2" borderId="0" xfId="0" applyFont="1" applyFill="1" applyBorder="1" applyAlignment="1" applyProtection="1">
      <alignment horizontal="right" vertical="center"/>
    </xf>
    <xf numFmtId="0" fontId="6" fillId="2" borderId="16" xfId="0" applyFont="1" applyFill="1" applyBorder="1" applyAlignment="1">
      <alignment horizontal="center"/>
    </xf>
    <xf numFmtId="49" fontId="6" fillId="2" borderId="16" xfId="0" applyNumberFormat="1" applyFont="1" applyFill="1" applyBorder="1" applyAlignment="1">
      <alignment horizontal="center"/>
    </xf>
    <xf numFmtId="0" fontId="1" fillId="0" borderId="0" xfId="0" applyFont="1" applyBorder="1" applyAlignment="1">
      <alignment horizontal="left"/>
    </xf>
    <xf numFmtId="0" fontId="59" fillId="2" borderId="0" xfId="0" applyFont="1" applyFill="1" applyBorder="1" applyAlignment="1">
      <alignment vertical="center" wrapText="1"/>
    </xf>
    <xf numFmtId="0" fontId="10" fillId="2" borderId="0" xfId="0" applyFont="1" applyFill="1" applyBorder="1" applyAlignment="1">
      <alignment vertical="center" wrapText="1"/>
    </xf>
    <xf numFmtId="0" fontId="11" fillId="2" borderId="31" xfId="0" applyFont="1" applyFill="1" applyBorder="1" applyAlignment="1" applyProtection="1">
      <alignment vertical="center"/>
    </xf>
    <xf numFmtId="0" fontId="49" fillId="2" borderId="0" xfId="0" applyFont="1" applyFill="1" applyBorder="1" applyAlignment="1">
      <alignment horizontal="center" vertical="center"/>
    </xf>
    <xf numFmtId="164" fontId="9" fillId="0" borderId="0" xfId="0" applyNumberFormat="1" applyFont="1" applyBorder="1" applyAlignment="1" applyProtection="1">
      <alignment horizontal="right" vertical="center"/>
    </xf>
    <xf numFmtId="0" fontId="9" fillId="2" borderId="4" xfId="0" applyFont="1" applyFill="1" applyBorder="1" applyAlignment="1" applyProtection="1">
      <alignment horizontal="left" vertical="center" indent="6"/>
    </xf>
    <xf numFmtId="0" fontId="60" fillId="0" borderId="0" xfId="0" applyFont="1" applyBorder="1" applyAlignment="1" applyProtection="1">
      <alignment vertical="center" wrapText="1"/>
    </xf>
    <xf numFmtId="9" fontId="1" fillId="0" borderId="0" xfId="0" applyNumberFormat="1" applyFont="1" applyAlignment="1">
      <alignment horizontal="left"/>
    </xf>
    <xf numFmtId="168" fontId="49" fillId="0" borderId="0" xfId="2" applyNumberFormat="1" applyFont="1" applyBorder="1" applyAlignment="1" applyProtection="1">
      <alignment horizontal="center" vertical="center"/>
    </xf>
    <xf numFmtId="0" fontId="0" fillId="0" borderId="0" xfId="0" applyFont="1" applyBorder="1" applyAlignment="1">
      <alignment horizontal="center" wrapText="1"/>
    </xf>
    <xf numFmtId="0" fontId="58" fillId="2" borderId="0" xfId="0" applyFont="1" applyFill="1" applyBorder="1" applyAlignment="1" applyProtection="1">
      <alignment horizontal="center" vertical="top"/>
      <protection locked="0"/>
    </xf>
    <xf numFmtId="0" fontId="14" fillId="0" borderId="0" xfId="0" applyFont="1" applyBorder="1" applyAlignment="1">
      <alignment vertical="center"/>
    </xf>
    <xf numFmtId="0" fontId="49" fillId="0" borderId="0" xfId="0" applyFont="1" applyBorder="1" applyAlignment="1">
      <alignment horizontal="right" vertical="center"/>
    </xf>
    <xf numFmtId="0" fontId="14" fillId="0" borderId="0" xfId="0" applyFont="1" applyBorder="1" applyAlignment="1">
      <alignment horizontal="left" vertical="center" indent="2"/>
    </xf>
    <xf numFmtId="0" fontId="14" fillId="0" borderId="0" xfId="0" applyFont="1" applyBorder="1" applyAlignment="1">
      <alignment horizontal="left" indent="2"/>
    </xf>
    <xf numFmtId="0" fontId="61" fillId="0" borderId="0" xfId="0" applyFont="1" applyBorder="1" applyAlignment="1">
      <alignment horizontal="left" indent="1"/>
    </xf>
    <xf numFmtId="0" fontId="49" fillId="2" borderId="0" xfId="0" applyFont="1" applyFill="1" applyBorder="1" applyAlignment="1">
      <alignment horizontal="center"/>
    </xf>
    <xf numFmtId="0" fontId="9" fillId="2" borderId="4" xfId="0" applyFont="1" applyFill="1" applyBorder="1" applyAlignment="1" applyProtection="1">
      <alignment horizontal="left" vertical="top" indent="5"/>
    </xf>
    <xf numFmtId="0" fontId="33" fillId="2"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9" fillId="0" borderId="10" xfId="0" applyFont="1" applyBorder="1" applyAlignment="1" applyProtection="1">
      <alignment horizontal="left" vertical="center"/>
    </xf>
    <xf numFmtId="0" fontId="0" fillId="0" borderId="1" xfId="0" applyBorder="1" applyProtection="1"/>
    <xf numFmtId="0" fontId="0" fillId="0" borderId="4" xfId="0" applyBorder="1" applyAlignment="1" applyProtection="1">
      <alignment horizontal="left" vertical="center"/>
    </xf>
    <xf numFmtId="0" fontId="9" fillId="0" borderId="15" xfId="0" applyFont="1" applyBorder="1" applyAlignment="1" applyProtection="1">
      <alignment horizontal="left" vertical="center"/>
    </xf>
    <xf numFmtId="14" fontId="2" fillId="2"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0" fillId="0" borderId="11" xfId="0" applyBorder="1" applyAlignment="1" applyProtection="1">
      <alignment vertical="center"/>
    </xf>
    <xf numFmtId="0" fontId="41" fillId="5" borderId="16" xfId="0" applyFont="1" applyFill="1" applyBorder="1" applyAlignment="1" applyProtection="1">
      <alignment horizontal="center" vertical="center"/>
    </xf>
    <xf numFmtId="0" fontId="49" fillId="0" borderId="0" xfId="0" applyFont="1" applyBorder="1" applyAlignment="1" applyProtection="1">
      <alignment horizontal="right"/>
    </xf>
    <xf numFmtId="164" fontId="49" fillId="0" borderId="0" xfId="0" applyNumberFormat="1" applyFont="1" applyBorder="1" applyAlignment="1" applyProtection="1">
      <alignment horizontal="right" vertical="center"/>
    </xf>
    <xf numFmtId="168" fontId="49" fillId="0" borderId="0" xfId="0" applyNumberFormat="1" applyFont="1" applyAlignment="1" applyProtection="1">
      <alignment horizontal="right" vertical="center"/>
    </xf>
    <xf numFmtId="0" fontId="49" fillId="2" borderId="0" xfId="0" applyFont="1" applyFill="1" applyBorder="1" applyAlignment="1" applyProtection="1">
      <alignment horizontal="left" vertical="center" indent="6"/>
    </xf>
    <xf numFmtId="0" fontId="14" fillId="0" borderId="0" xfId="0" applyFont="1" applyBorder="1" applyAlignment="1" applyProtection="1">
      <alignment horizontal="left" vertical="center" indent="3"/>
    </xf>
    <xf numFmtId="0" fontId="49" fillId="2" borderId="0" xfId="0" applyFont="1" applyFill="1" applyBorder="1" applyAlignment="1" applyProtection="1">
      <alignment horizontal="left" vertical="center" wrapText="1" indent="3"/>
    </xf>
    <xf numFmtId="0" fontId="49" fillId="2" borderId="0" xfId="0" applyFont="1" applyFill="1" applyBorder="1" applyAlignment="1" applyProtection="1">
      <alignment horizontal="left" vertical="top" wrapText="1"/>
    </xf>
    <xf numFmtId="0" fontId="49" fillId="2" borderId="30" xfId="0" quotePrefix="1" applyFont="1" applyFill="1" applyBorder="1" applyAlignment="1" applyProtection="1">
      <alignment vertical="top" wrapText="1"/>
    </xf>
    <xf numFmtId="0" fontId="49" fillId="2" borderId="0" xfId="0" quotePrefix="1" applyFont="1" applyFill="1" applyBorder="1" applyAlignment="1" applyProtection="1">
      <alignment vertical="top" wrapText="1"/>
    </xf>
    <xf numFmtId="0" fontId="63" fillId="2" borderId="0" xfId="0" applyFont="1" applyFill="1" applyBorder="1" applyAlignment="1" applyProtection="1"/>
    <xf numFmtId="0" fontId="54" fillId="0" borderId="0" xfId="0" applyFont="1" applyBorder="1" applyProtection="1"/>
    <xf numFmtId="0" fontId="54" fillId="0" borderId="0" xfId="0" applyFont="1" applyProtection="1"/>
    <xf numFmtId="0" fontId="0" fillId="2" borderId="0" xfId="0" applyFill="1" applyBorder="1" applyAlignment="1">
      <alignment horizontal="left" vertical="top"/>
    </xf>
    <xf numFmtId="0" fontId="0" fillId="2" borderId="9" xfId="0" applyFill="1" applyBorder="1" applyAlignment="1">
      <alignment horizontal="left" vertical="top"/>
    </xf>
    <xf numFmtId="0" fontId="0" fillId="0" borderId="21" xfId="0" applyBorder="1" applyProtection="1"/>
    <xf numFmtId="0" fontId="0" fillId="0" borderId="9" xfId="0" applyBorder="1" applyAlignment="1" applyProtection="1"/>
    <xf numFmtId="0" fontId="9" fillId="2" borderId="12" xfId="0" applyFont="1" applyFill="1" applyBorder="1" applyAlignment="1" applyProtection="1">
      <alignment horizontal="right" wrapText="1"/>
    </xf>
    <xf numFmtId="165" fontId="49" fillId="2" borderId="0" xfId="0" applyNumberFormat="1" applyFont="1" applyFill="1" applyBorder="1" applyAlignment="1">
      <alignment horizontal="center" vertical="center"/>
    </xf>
    <xf numFmtId="0" fontId="9" fillId="0" borderId="0" xfId="0" applyFont="1" applyBorder="1" applyAlignment="1" applyProtection="1">
      <alignment horizontal="right"/>
    </xf>
    <xf numFmtId="0" fontId="14" fillId="0" borderId="0" xfId="0" applyFont="1" applyBorder="1" applyAlignment="1" applyProtection="1">
      <alignment horizontal="left" indent="2"/>
    </xf>
    <xf numFmtId="0" fontId="14" fillId="2" borderId="0" xfId="0" applyFont="1" applyFill="1" applyBorder="1" applyAlignment="1" applyProtection="1">
      <alignment horizontal="left" indent="2"/>
    </xf>
    <xf numFmtId="0" fontId="14" fillId="2" borderId="0" xfId="0" applyFont="1" applyFill="1" applyBorder="1" applyAlignment="1" applyProtection="1">
      <alignment horizontal="left" vertical="center" indent="2"/>
    </xf>
    <xf numFmtId="0" fontId="14" fillId="0" borderId="0" xfId="0" applyFont="1" applyBorder="1" applyAlignment="1">
      <alignment horizontal="left" vertical="top" wrapText="1" indent="3"/>
    </xf>
    <xf numFmtId="0" fontId="20" fillId="0" borderId="0" xfId="0" applyFont="1" applyBorder="1" applyAlignment="1" applyProtection="1">
      <alignment horizontal="center" vertical="top" wrapText="1"/>
    </xf>
    <xf numFmtId="0" fontId="9" fillId="2" borderId="0" xfId="0" applyFont="1" applyFill="1" applyBorder="1" applyAlignment="1" applyProtection="1">
      <alignment horizontal="right" vertical="center"/>
    </xf>
    <xf numFmtId="0" fontId="49" fillId="0" borderId="0" xfId="0" applyFont="1" applyBorder="1" applyAlignment="1" applyProtection="1">
      <alignment vertical="center" wrapText="1"/>
    </xf>
    <xf numFmtId="168" fontId="14" fillId="2" borderId="0" xfId="2" applyNumberFormat="1" applyFont="1" applyFill="1" applyBorder="1" applyAlignment="1" applyProtection="1">
      <alignment horizontal="center"/>
      <protection locked="0"/>
    </xf>
    <xf numFmtId="0" fontId="54" fillId="0" borderId="0" xfId="0" applyFont="1" applyBorder="1" applyAlignment="1">
      <alignment vertical="top" wrapText="1"/>
    </xf>
    <xf numFmtId="0" fontId="14" fillId="0" borderId="9" xfId="0" applyFont="1" applyBorder="1" applyAlignment="1">
      <alignment vertical="center"/>
    </xf>
    <xf numFmtId="0" fontId="0" fillId="2" borderId="0" xfId="0" applyFill="1" applyBorder="1" applyAlignment="1">
      <alignment horizontal="center"/>
    </xf>
    <xf numFmtId="0" fontId="14" fillId="2" borderId="0" xfId="0" applyFont="1" applyFill="1" applyBorder="1" applyAlignment="1" applyProtection="1">
      <alignment horizontal="left"/>
      <protection locked="0"/>
    </xf>
    <xf numFmtId="0" fontId="14" fillId="2" borderId="0" xfId="0" applyFont="1" applyFill="1" applyBorder="1" applyAlignment="1">
      <alignment horizontal="center" vertical="center"/>
    </xf>
    <xf numFmtId="168" fontId="14" fillId="2" borderId="14" xfId="2" applyNumberFormat="1" applyFont="1" applyFill="1" applyBorder="1" applyAlignment="1" applyProtection="1">
      <protection locked="0"/>
    </xf>
    <xf numFmtId="0" fontId="14" fillId="0" borderId="0" xfId="0" applyFont="1" applyBorder="1" applyAlignment="1" applyProtection="1"/>
    <xf numFmtId="0" fontId="14" fillId="2" borderId="0" xfId="0" applyFont="1" applyFill="1" applyBorder="1" applyAlignment="1" applyProtection="1">
      <alignment horizontal="left"/>
    </xf>
    <xf numFmtId="168" fontId="49" fillId="2" borderId="0" xfId="2" applyNumberFormat="1" applyFont="1" applyFill="1" applyBorder="1" applyAlignment="1" applyProtection="1">
      <alignment horizontal="center" vertical="center"/>
    </xf>
    <xf numFmtId="168" fontId="49" fillId="0" borderId="9" xfId="2" applyNumberFormat="1" applyFont="1" applyBorder="1" applyAlignment="1" applyProtection="1">
      <alignment horizontal="center" vertical="center"/>
    </xf>
    <xf numFmtId="0" fontId="0" fillId="2" borderId="13" xfId="0" applyFill="1" applyBorder="1" applyProtection="1"/>
    <xf numFmtId="0" fontId="0" fillId="0" borderId="13" xfId="0" applyBorder="1" applyProtection="1"/>
    <xf numFmtId="0" fontId="0" fillId="0" borderId="23" xfId="0" applyBorder="1" applyProtection="1"/>
    <xf numFmtId="168" fontId="9" fillId="0" borderId="24" xfId="2" applyNumberFormat="1" applyFont="1" applyBorder="1" applyAlignment="1" applyProtection="1">
      <alignment horizontal="center" vertical="center"/>
    </xf>
    <xf numFmtId="0" fontId="0" fillId="0" borderId="0" xfId="0" applyBorder="1" applyAlignment="1" applyProtection="1"/>
    <xf numFmtId="0" fontId="14" fillId="0" borderId="0" xfId="0" applyFont="1" applyBorder="1" applyAlignment="1" applyProtection="1">
      <alignment horizontal="left"/>
    </xf>
    <xf numFmtId="0" fontId="0" fillId="0" borderId="0" xfId="0" applyBorder="1" applyAlignment="1" applyProtection="1">
      <alignment horizontal="left"/>
    </xf>
    <xf numFmtId="0" fontId="0" fillId="0" borderId="0" xfId="0" applyBorder="1" applyAlignment="1">
      <alignment horizontal="left"/>
    </xf>
    <xf numFmtId="0" fontId="14" fillId="4" borderId="0" xfId="0" applyFont="1" applyFill="1" applyBorder="1" applyAlignment="1" applyProtection="1">
      <alignment horizontal="left"/>
    </xf>
    <xf numFmtId="0" fontId="0" fillId="2" borderId="0" xfId="0" applyFill="1" applyBorder="1" applyAlignment="1" applyProtection="1">
      <alignment horizontal="left"/>
    </xf>
    <xf numFmtId="44" fontId="20" fillId="0" borderId="0" xfId="0" applyNumberFormat="1" applyFont="1" applyBorder="1" applyAlignment="1" applyProtection="1">
      <alignment horizontal="center" vertical="top" wrapText="1"/>
    </xf>
    <xf numFmtId="0" fontId="49" fillId="0" borderId="0" xfId="0" applyFont="1" applyBorder="1" applyAlignment="1"/>
    <xf numFmtId="0" fontId="49" fillId="0" borderId="14" xfId="0" applyFont="1" applyBorder="1" applyAlignment="1">
      <alignment horizontal="right"/>
    </xf>
    <xf numFmtId="0" fontId="6" fillId="0" borderId="0" xfId="0" applyFont="1" applyProtection="1"/>
    <xf numFmtId="0" fontId="6" fillId="0" borderId="0" xfId="0" applyFont="1" applyAlignment="1" applyProtection="1">
      <alignment horizontal="right"/>
    </xf>
    <xf numFmtId="0" fontId="49" fillId="2" borderId="0" xfId="0" applyFont="1" applyFill="1" applyBorder="1" applyAlignment="1">
      <alignment vertical="center"/>
    </xf>
    <xf numFmtId="0" fontId="14" fillId="2" borderId="0" xfId="0" applyFont="1" applyFill="1" applyBorder="1" applyAlignment="1" applyProtection="1">
      <alignment horizontal="left" vertical="center" wrapText="1" inden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4" fillId="2" borderId="0" xfId="0" applyFont="1" applyFill="1" applyBorder="1" applyAlignment="1" applyProtection="1">
      <alignment horizontal="left" vertical="center" wrapText="1"/>
    </xf>
    <xf numFmtId="0" fontId="64" fillId="2" borderId="0" xfId="0" applyFont="1" applyFill="1" applyBorder="1" applyAlignment="1" applyProtection="1">
      <alignment horizontal="center" vertical="center"/>
    </xf>
    <xf numFmtId="0" fontId="6" fillId="0" borderId="0" xfId="0" applyFont="1" applyBorder="1" applyAlignment="1" applyProtection="1">
      <alignment vertical="center"/>
    </xf>
    <xf numFmtId="0" fontId="49" fillId="2" borderId="0" xfId="0" applyFont="1" applyFill="1" applyBorder="1" applyAlignment="1" applyProtection="1">
      <alignment horizontal="right" vertical="center" indent="6"/>
    </xf>
    <xf numFmtId="0" fontId="49" fillId="2" borderId="0" xfId="0" applyFont="1" applyFill="1" applyBorder="1" applyAlignment="1" applyProtection="1">
      <alignment horizontal="right" vertical="center" indent="3"/>
    </xf>
    <xf numFmtId="0" fontId="42" fillId="5" borderId="16" xfId="0" applyFont="1" applyFill="1" applyBorder="1" applyAlignment="1" applyProtection="1">
      <alignment horizontal="center" vertical="center"/>
    </xf>
    <xf numFmtId="0" fontId="29" fillId="2" borderId="2" xfId="0" quotePrefix="1" applyFont="1" applyFill="1" applyBorder="1" applyAlignment="1" applyProtection="1">
      <alignment vertical="center" wrapText="1"/>
    </xf>
    <xf numFmtId="0" fontId="29" fillId="2" borderId="3" xfId="0" quotePrefix="1" applyFont="1" applyFill="1" applyBorder="1" applyAlignment="1" applyProtection="1">
      <alignment vertical="center" wrapText="1"/>
    </xf>
    <xf numFmtId="0" fontId="29" fillId="2" borderId="0" xfId="0" quotePrefix="1" applyFont="1" applyFill="1" applyBorder="1" applyAlignment="1" applyProtection="1">
      <alignment vertical="center" wrapText="1"/>
    </xf>
    <xf numFmtId="0" fontId="29" fillId="2" borderId="5" xfId="0" quotePrefix="1" applyFont="1" applyFill="1" applyBorder="1" applyAlignment="1" applyProtection="1">
      <alignment vertical="center" wrapText="1"/>
    </xf>
    <xf numFmtId="0" fontId="29" fillId="2" borderId="10" xfId="0" quotePrefix="1" applyFont="1" applyFill="1" applyBorder="1" applyAlignment="1" applyProtection="1">
      <alignment vertical="center" wrapText="1"/>
    </xf>
    <xf numFmtId="0" fontId="29" fillId="2" borderId="11" xfId="0" quotePrefix="1" applyFont="1" applyFill="1" applyBorder="1" applyAlignment="1" applyProtection="1">
      <alignment vertical="center" wrapText="1"/>
    </xf>
    <xf numFmtId="0" fontId="9" fillId="2" borderId="0" xfId="0" quotePrefix="1" applyFont="1" applyFill="1" applyBorder="1" applyAlignment="1" applyProtection="1">
      <alignment horizontal="left" vertical="center" wrapText="1"/>
    </xf>
    <xf numFmtId="0" fontId="9" fillId="0" borderId="0" xfId="0" applyFont="1" applyBorder="1" applyAlignment="1" applyProtection="1">
      <alignment vertical="center" wrapText="1"/>
    </xf>
    <xf numFmtId="0" fontId="9" fillId="2" borderId="0" xfId="0" quotePrefix="1" applyFont="1" applyFill="1" applyBorder="1" applyAlignment="1" applyProtection="1">
      <alignment vertical="center"/>
    </xf>
    <xf numFmtId="0" fontId="9" fillId="2" borderId="16" xfId="0" quotePrefix="1" applyFont="1" applyFill="1" applyBorder="1" applyAlignment="1" applyProtection="1">
      <alignment horizontal="center" vertical="center" wrapText="1"/>
    </xf>
    <xf numFmtId="0" fontId="29" fillId="0" borderId="2"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15" xfId="0" applyFont="1" applyBorder="1" applyAlignment="1" applyProtection="1">
      <alignment vertical="center" wrapText="1"/>
    </xf>
    <xf numFmtId="0" fontId="29" fillId="0" borderId="10" xfId="0" applyFont="1" applyBorder="1" applyAlignment="1" applyProtection="1">
      <alignment vertical="center" wrapText="1"/>
    </xf>
    <xf numFmtId="168" fontId="51" fillId="0" borderId="10" xfId="0" applyNumberFormat="1" applyFont="1" applyBorder="1" applyAlignment="1" applyProtection="1">
      <alignment vertical="top" wrapText="1"/>
    </xf>
    <xf numFmtId="0" fontId="6" fillId="2" borderId="0" xfId="0" applyFont="1" applyFill="1" applyBorder="1" applyAlignment="1" applyProtection="1">
      <alignment horizontal="left" vertical="center" indent="3"/>
    </xf>
    <xf numFmtId="0" fontId="49" fillId="2" borderId="0" xfId="0" applyFont="1" applyFill="1" applyBorder="1" applyAlignment="1" applyProtection="1">
      <alignment horizontal="left" vertical="center"/>
    </xf>
    <xf numFmtId="168" fontId="14" fillId="4" borderId="6" xfId="2" applyNumberFormat="1" applyFont="1" applyFill="1" applyBorder="1" applyAlignment="1" applyProtection="1">
      <alignment horizontal="center"/>
      <protection locked="0"/>
    </xf>
    <xf numFmtId="168" fontId="14" fillId="4" borderId="7" xfId="2" applyNumberFormat="1" applyFont="1" applyFill="1" applyBorder="1" applyAlignment="1" applyProtection="1">
      <alignment horizontal="center"/>
      <protection locked="0"/>
    </xf>
    <xf numFmtId="0" fontId="14" fillId="2" borderId="0" xfId="0" applyFont="1" applyFill="1" applyBorder="1" applyAlignment="1" applyProtection="1">
      <alignment horizontal="left"/>
    </xf>
    <xf numFmtId="0" fontId="14" fillId="0" borderId="0" xfId="0" applyFont="1" applyBorder="1" applyAlignment="1">
      <alignment horizontal="left" vertical="center" wrapText="1" indent="2"/>
    </xf>
    <xf numFmtId="0" fontId="14" fillId="0" borderId="0" xfId="0" applyFont="1" applyBorder="1" applyAlignment="1">
      <alignment horizontal="left" vertical="center" indent="2"/>
    </xf>
    <xf numFmtId="0" fontId="14" fillId="0" borderId="14" xfId="0" applyFont="1" applyBorder="1" applyAlignment="1">
      <alignment horizontal="left" vertical="center" indent="2"/>
    </xf>
    <xf numFmtId="0" fontId="9" fillId="2" borderId="0" xfId="0" applyFont="1" applyFill="1" applyBorder="1" applyAlignment="1" applyProtection="1">
      <alignment horizontal="right" vertical="center"/>
    </xf>
    <xf numFmtId="0" fontId="0" fillId="4" borderId="16" xfId="0" applyFill="1" applyBorder="1" applyAlignment="1" applyProtection="1">
      <alignment vertical="center"/>
      <protection locked="0"/>
    </xf>
    <xf numFmtId="0" fontId="0" fillId="2" borderId="0" xfId="0" applyFill="1" applyBorder="1" applyAlignment="1" applyProtection="1">
      <alignment vertical="center"/>
      <protection locked="0"/>
    </xf>
    <xf numFmtId="0" fontId="67" fillId="0" borderId="0" xfId="0" applyFont="1" applyBorder="1" applyAlignment="1">
      <alignment horizontal="right" vertical="center"/>
    </xf>
    <xf numFmtId="0" fontId="20" fillId="0" borderId="0" xfId="0" applyFont="1" applyBorder="1" applyAlignment="1" applyProtection="1">
      <alignment vertical="center"/>
    </xf>
    <xf numFmtId="0" fontId="0" fillId="2" borderId="0" xfId="0" applyFont="1" applyFill="1" applyBorder="1" applyAlignment="1">
      <alignment horizontal="center"/>
    </xf>
    <xf numFmtId="0" fontId="0" fillId="0" borderId="0" xfId="0" applyFont="1" applyBorder="1" applyAlignment="1">
      <alignment horizontal="center"/>
    </xf>
    <xf numFmtId="168" fontId="14" fillId="2" borderId="0" xfId="2" applyNumberFormat="1" applyFont="1" applyFill="1" applyBorder="1" applyAlignment="1" applyProtection="1">
      <alignment horizontal="center" vertical="center"/>
    </xf>
    <xf numFmtId="0" fontId="51" fillId="2" borderId="0" xfId="0" applyFont="1" applyFill="1" applyBorder="1" applyAlignment="1" applyProtection="1">
      <alignment vertical="top"/>
    </xf>
    <xf numFmtId="0" fontId="51" fillId="2" borderId="0" xfId="0" applyFont="1" applyFill="1" applyBorder="1" applyAlignment="1" applyProtection="1">
      <alignment horizontal="center" vertical="top"/>
    </xf>
    <xf numFmtId="0" fontId="0" fillId="4" borderId="0" xfId="0" applyFill="1" applyBorder="1" applyAlignment="1" applyProtection="1">
      <alignment horizontal="left"/>
    </xf>
    <xf numFmtId="0" fontId="14" fillId="4" borderId="0" xfId="0" applyFont="1" applyFill="1" applyBorder="1" applyAlignment="1" applyProtection="1">
      <alignment horizontal="left"/>
      <protection locked="0"/>
    </xf>
    <xf numFmtId="0" fontId="14" fillId="2" borderId="0" xfId="0" applyFont="1" applyFill="1" applyBorder="1" applyAlignment="1" applyProtection="1"/>
    <xf numFmtId="0" fontId="0" fillId="2" borderId="0" xfId="0" applyFill="1" applyBorder="1" applyAlignment="1">
      <alignment horizontal="left"/>
    </xf>
    <xf numFmtId="0" fontId="14" fillId="2" borderId="0" xfId="0" applyFont="1" applyFill="1" applyBorder="1" applyAlignment="1">
      <alignment horizontal="center"/>
    </xf>
    <xf numFmtId="0" fontId="49" fillId="2" borderId="0" xfId="0" applyFont="1" applyFill="1" applyBorder="1" applyAlignment="1">
      <alignment horizontal="right" vertical="center"/>
    </xf>
    <xf numFmtId="168" fontId="14" fillId="2" borderId="0" xfId="2" applyNumberFormat="1" applyFont="1" applyFill="1" applyBorder="1" applyAlignment="1">
      <alignment horizontal="center" vertical="center"/>
    </xf>
    <xf numFmtId="0" fontId="49" fillId="2" borderId="0" xfId="0" applyFont="1" applyFill="1" applyBorder="1" applyAlignment="1" applyProtection="1">
      <alignment wrapText="1"/>
    </xf>
    <xf numFmtId="0" fontId="10" fillId="2" borderId="1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49" fillId="2" borderId="14" xfId="0" applyFont="1" applyFill="1" applyBorder="1" applyAlignment="1" applyProtection="1">
      <alignment horizontal="left" vertical="center" wrapText="1" indent="1"/>
    </xf>
    <xf numFmtId="0" fontId="52" fillId="2" borderId="13" xfId="0" applyFont="1" applyFill="1" applyBorder="1" applyAlignment="1" applyProtection="1">
      <alignment horizontal="center" vertical="center"/>
    </xf>
    <xf numFmtId="0" fontId="0" fillId="0" borderId="14" xfId="0" applyBorder="1"/>
    <xf numFmtId="0" fontId="0" fillId="0" borderId="24" xfId="0" applyBorder="1"/>
    <xf numFmtId="0" fontId="0" fillId="0" borderId="2" xfId="0" quotePrefix="1" applyBorder="1" applyAlignment="1" applyProtection="1"/>
    <xf numFmtId="0" fontId="14" fillId="4" borderId="16" xfId="0" applyFont="1" applyFill="1" applyBorder="1" applyAlignment="1" applyProtection="1">
      <alignment horizontal="center" vertical="center"/>
      <protection locked="0"/>
    </xf>
    <xf numFmtId="168" fontId="14" fillId="4" borderId="16" xfId="2" applyNumberFormat="1" applyFont="1" applyFill="1" applyBorder="1" applyAlignment="1" applyProtection="1">
      <alignment horizontal="center" vertical="center"/>
      <protection locked="0"/>
    </xf>
    <xf numFmtId="0" fontId="9" fillId="0" borderId="0" xfId="0" applyFont="1" applyBorder="1" applyAlignment="1" applyProtection="1">
      <alignment horizontal="right"/>
    </xf>
    <xf numFmtId="0" fontId="21" fillId="0" borderId="4"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49" fillId="0" borderId="0" xfId="0" applyFont="1" applyAlignment="1" applyProtection="1">
      <alignment horizontal="right" vertical="center"/>
    </xf>
    <xf numFmtId="168" fontId="14" fillId="3" borderId="16" xfId="2" applyNumberFormat="1" applyFont="1" applyFill="1" applyBorder="1" applyAlignment="1" applyProtection="1">
      <alignment horizontal="center" vertical="center"/>
    </xf>
    <xf numFmtId="168" fontId="53" fillId="3" borderId="16" xfId="2" applyNumberFormat="1" applyFont="1" applyFill="1" applyBorder="1" applyAlignment="1" applyProtection="1">
      <alignment horizontal="center" vertical="center"/>
    </xf>
    <xf numFmtId="168" fontId="2" fillId="2" borderId="0" xfId="2" applyNumberFormat="1" applyFont="1" applyFill="1" applyBorder="1" applyAlignment="1" applyProtection="1">
      <alignment vertical="center"/>
    </xf>
    <xf numFmtId="1" fontId="2" fillId="2" borderId="0" xfId="2" applyNumberFormat="1" applyFont="1" applyFill="1" applyBorder="1" applyAlignment="1" applyProtection="1">
      <alignment vertical="center"/>
    </xf>
    <xf numFmtId="0" fontId="2" fillId="2" borderId="0" xfId="0" applyFont="1" applyFill="1" applyBorder="1" applyAlignment="1" applyProtection="1">
      <alignment vertical="center"/>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wrapText="1"/>
    </xf>
    <xf numFmtId="0" fontId="57" fillId="0" borderId="0" xfId="0" applyFont="1" applyProtection="1"/>
    <xf numFmtId="0" fontId="49" fillId="0" borderId="0" xfId="0" applyFont="1" applyProtection="1"/>
    <xf numFmtId="49"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wrapText="1"/>
    </xf>
    <xf numFmtId="0" fontId="14" fillId="0" borderId="0" xfId="0" applyFont="1" applyBorder="1" applyAlignment="1">
      <alignment horizontal="left" vertical="center" indent="2"/>
    </xf>
    <xf numFmtId="0" fontId="14" fillId="0" borderId="14" xfId="0" applyFont="1" applyBorder="1" applyAlignment="1">
      <alignment horizontal="left" vertical="center" indent="2"/>
    </xf>
    <xf numFmtId="0" fontId="52" fillId="7" borderId="6" xfId="0" applyFont="1" applyFill="1" applyBorder="1" applyAlignment="1" applyProtection="1">
      <alignment horizontal="center" vertical="center" wrapText="1"/>
    </xf>
    <xf numFmtId="0" fontId="52" fillId="7" borderId="8" xfId="0" applyFont="1" applyFill="1" applyBorder="1" applyAlignment="1" applyProtection="1">
      <alignment horizontal="center" vertical="center" wrapText="1"/>
    </xf>
    <xf numFmtId="0" fontId="52" fillId="7" borderId="7" xfId="0" applyFont="1" applyFill="1" applyBorder="1" applyAlignment="1" applyProtection="1">
      <alignment horizontal="center" vertical="center" wrapText="1"/>
    </xf>
    <xf numFmtId="0" fontId="41" fillId="7" borderId="6" xfId="0" applyFont="1" applyFill="1" applyBorder="1" applyAlignment="1" applyProtection="1">
      <alignment horizontal="center" vertical="center" wrapText="1"/>
    </xf>
    <xf numFmtId="0" fontId="41" fillId="7" borderId="8" xfId="0" applyFont="1" applyFill="1" applyBorder="1" applyAlignment="1" applyProtection="1">
      <alignment horizontal="center" vertical="center" wrapText="1"/>
    </xf>
    <xf numFmtId="0" fontId="41" fillId="7" borderId="7" xfId="0" applyFont="1" applyFill="1" applyBorder="1" applyAlignment="1" applyProtection="1">
      <alignment horizontal="center" vertical="center" wrapText="1"/>
    </xf>
    <xf numFmtId="14" fontId="14" fillId="4" borderId="6" xfId="0" applyNumberFormat="1" applyFont="1" applyFill="1" applyBorder="1" applyAlignment="1" applyProtection="1">
      <alignment horizontal="center" vertical="center"/>
      <protection locked="0"/>
    </xf>
    <xf numFmtId="14" fontId="14" fillId="4" borderId="8" xfId="0" applyNumberFormat="1" applyFont="1" applyFill="1" applyBorder="1" applyAlignment="1" applyProtection="1">
      <alignment horizontal="center" vertical="center"/>
      <protection locked="0"/>
    </xf>
    <xf numFmtId="14" fontId="14" fillId="4" borderId="7" xfId="0" applyNumberFormat="1" applyFont="1" applyFill="1" applyBorder="1" applyAlignment="1" applyProtection="1">
      <alignment horizontal="center" vertical="center"/>
      <protection locked="0"/>
    </xf>
    <xf numFmtId="168" fontId="14" fillId="6" borderId="6" xfId="0" applyNumberFormat="1" applyFont="1" applyFill="1" applyBorder="1" applyAlignment="1" applyProtection="1">
      <alignment horizontal="center"/>
    </xf>
    <xf numFmtId="0" fontId="14" fillId="6" borderId="8" xfId="0" applyFont="1" applyFill="1" applyBorder="1" applyAlignment="1" applyProtection="1">
      <alignment horizontal="center"/>
    </xf>
    <xf numFmtId="0" fontId="14" fillId="6" borderId="7" xfId="0" applyFont="1" applyFill="1" applyBorder="1" applyAlignment="1" applyProtection="1">
      <alignment horizontal="center"/>
    </xf>
    <xf numFmtId="0" fontId="14" fillId="11" borderId="16" xfId="0" applyFont="1" applyFill="1" applyBorder="1" applyAlignment="1">
      <alignment horizontal="center" vertical="center"/>
    </xf>
    <xf numFmtId="0" fontId="6" fillId="0" borderId="0"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6" fillId="0" borderId="24" xfId="0" applyFont="1" applyBorder="1" applyAlignment="1">
      <alignment horizontal="center"/>
    </xf>
    <xf numFmtId="168" fontId="14" fillId="4" borderId="6" xfId="2" applyNumberFormat="1" applyFont="1" applyFill="1" applyBorder="1" applyAlignment="1" applyProtection="1">
      <alignment horizontal="center"/>
      <protection locked="0"/>
    </xf>
    <xf numFmtId="168" fontId="14" fillId="4" borderId="7" xfId="2" applyNumberFormat="1" applyFont="1" applyFill="1" applyBorder="1" applyAlignment="1" applyProtection="1">
      <alignment horizontal="center"/>
      <protection locked="0"/>
    </xf>
    <xf numFmtId="0" fontId="0" fillId="4" borderId="16" xfId="0" applyFill="1" applyBorder="1" applyAlignment="1" applyProtection="1">
      <alignment horizontal="center"/>
      <protection locked="0"/>
    </xf>
    <xf numFmtId="168" fontId="14" fillId="6" borderId="16" xfId="2" applyNumberFormat="1" applyFont="1" applyFill="1" applyBorder="1" applyAlignment="1" applyProtection="1">
      <alignment horizontal="center" vertical="center"/>
    </xf>
    <xf numFmtId="168" fontId="49" fillId="6" borderId="16" xfId="2" applyNumberFormat="1" applyFont="1" applyFill="1" applyBorder="1" applyAlignment="1" applyProtection="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7" xfId="0" applyFont="1" applyFill="1" applyBorder="1" applyAlignment="1">
      <alignment horizontal="center" vertical="center"/>
    </xf>
    <xf numFmtId="168" fontId="14" fillId="6" borderId="6" xfId="2" applyNumberFormat="1" applyFont="1" applyFill="1" applyBorder="1" applyAlignment="1">
      <alignment horizontal="center" vertical="center"/>
    </xf>
    <xf numFmtId="168" fontId="14" fillId="6" borderId="8" xfId="2" applyNumberFormat="1" applyFont="1" applyFill="1" applyBorder="1" applyAlignment="1">
      <alignment horizontal="center" vertical="center"/>
    </xf>
    <xf numFmtId="168" fontId="14" fillId="6" borderId="7" xfId="2" applyNumberFormat="1" applyFont="1" applyFill="1" applyBorder="1" applyAlignment="1">
      <alignment horizontal="center" vertical="center"/>
    </xf>
    <xf numFmtId="168" fontId="49" fillId="6" borderId="16" xfId="2" applyNumberFormat="1" applyFont="1" applyFill="1" applyBorder="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left" vertical="center"/>
    </xf>
    <xf numFmtId="0" fontId="49" fillId="0" borderId="14" xfId="0" applyFont="1" applyBorder="1" applyAlignment="1">
      <alignment horizontal="left" vertical="center"/>
    </xf>
    <xf numFmtId="0" fontId="49" fillId="2" borderId="0" xfId="0" applyFont="1" applyFill="1" applyBorder="1" applyAlignment="1" applyProtection="1">
      <alignment horizontal="left" wrapText="1"/>
    </xf>
    <xf numFmtId="0" fontId="20" fillId="0" borderId="23" xfId="0" applyFont="1" applyBorder="1" applyAlignment="1">
      <alignment horizontal="center"/>
    </xf>
    <xf numFmtId="0" fontId="20" fillId="0" borderId="12" xfId="0" applyFont="1" applyBorder="1" applyAlignment="1">
      <alignment horizontal="center"/>
    </xf>
    <xf numFmtId="10" fontId="6" fillId="6" borderId="6" xfId="1" applyNumberFormat="1" applyFont="1" applyFill="1" applyBorder="1" applyAlignment="1">
      <alignment horizontal="center" vertical="center" wrapText="1"/>
    </xf>
    <xf numFmtId="10" fontId="6" fillId="6" borderId="7" xfId="1" applyNumberFormat="1" applyFont="1" applyFill="1" applyBorder="1" applyAlignment="1">
      <alignment horizontal="center" vertical="center" wrapText="1"/>
    </xf>
    <xf numFmtId="168" fontId="14" fillId="4" borderId="6" xfId="2" applyNumberFormat="1" applyFont="1" applyFill="1" applyBorder="1" applyAlignment="1" applyProtection="1">
      <alignment horizontal="center" vertical="center"/>
      <protection locked="0"/>
    </xf>
    <xf numFmtId="168" fontId="14" fillId="4" borderId="8" xfId="2" applyNumberFormat="1" applyFont="1" applyFill="1" applyBorder="1" applyAlignment="1" applyProtection="1">
      <alignment horizontal="center" vertical="center"/>
      <protection locked="0"/>
    </xf>
    <xf numFmtId="168" fontId="14" fillId="4" borderId="7" xfId="2" applyNumberFormat="1" applyFont="1" applyFill="1" applyBorder="1" applyAlignment="1" applyProtection="1">
      <alignment horizontal="center" vertical="center"/>
      <protection locked="0"/>
    </xf>
    <xf numFmtId="0" fontId="42" fillId="8" borderId="6" xfId="0" applyFont="1" applyFill="1" applyBorder="1" applyAlignment="1" applyProtection="1">
      <alignment horizontal="center" vertical="center"/>
    </xf>
    <xf numFmtId="0" fontId="42" fillId="8" borderId="8" xfId="0" applyFont="1" applyFill="1" applyBorder="1" applyAlignment="1" applyProtection="1">
      <alignment horizontal="center" vertical="center"/>
    </xf>
    <xf numFmtId="0" fontId="42" fillId="8" borderId="7" xfId="0" applyFont="1" applyFill="1" applyBorder="1" applyAlignment="1" applyProtection="1">
      <alignment horizontal="center" vertical="center"/>
    </xf>
    <xf numFmtId="0" fontId="52" fillId="5" borderId="6" xfId="0" applyFont="1" applyFill="1" applyBorder="1" applyAlignment="1">
      <alignment horizontal="center"/>
    </xf>
    <xf numFmtId="0" fontId="52" fillId="5" borderId="8" xfId="0" applyFont="1" applyFill="1" applyBorder="1" applyAlignment="1">
      <alignment horizontal="center"/>
    </xf>
    <xf numFmtId="0" fontId="52" fillId="5" borderId="7" xfId="0" applyFont="1" applyFill="1" applyBorder="1" applyAlignment="1">
      <alignment horizontal="center"/>
    </xf>
    <xf numFmtId="0" fontId="9" fillId="0" borderId="0" xfId="0" applyFont="1" applyBorder="1" applyAlignment="1" applyProtection="1">
      <alignment horizontal="right"/>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168" fontId="14" fillId="4" borderId="16" xfId="2" applyNumberFormat="1" applyFont="1" applyFill="1" applyBorder="1" applyAlignment="1" applyProtection="1">
      <alignment horizontal="right"/>
      <protection locked="0"/>
    </xf>
    <xf numFmtId="168" fontId="9" fillId="0" borderId="9" xfId="2" applyNumberFormat="1" applyFont="1" applyBorder="1" applyAlignment="1" applyProtection="1">
      <alignment horizontal="center"/>
    </xf>
    <xf numFmtId="0" fontId="54" fillId="0" borderId="13" xfId="0" applyFont="1" applyBorder="1" applyAlignment="1">
      <alignment horizontal="left" vertical="top" wrapText="1" indent="1"/>
    </xf>
    <xf numFmtId="0" fontId="54" fillId="0" borderId="14" xfId="0" applyFont="1" applyBorder="1" applyAlignment="1">
      <alignment horizontal="left" vertical="top" wrapText="1" indent="1"/>
    </xf>
    <xf numFmtId="0" fontId="54" fillId="0" borderId="23" xfId="0" applyFont="1" applyBorder="1" applyAlignment="1">
      <alignment horizontal="left" vertical="top" wrapText="1" indent="1"/>
    </xf>
    <xf numFmtId="0" fontId="54" fillId="0" borderId="24" xfId="0" applyFont="1" applyBorder="1" applyAlignment="1">
      <alignment horizontal="left" vertical="top" wrapText="1" indent="1"/>
    </xf>
    <xf numFmtId="0" fontId="61" fillId="0" borderId="21" xfId="0" applyFont="1" applyBorder="1" applyAlignment="1">
      <alignment horizontal="left" indent="1"/>
    </xf>
    <xf numFmtId="0" fontId="61" fillId="0" borderId="22" xfId="0" applyFont="1" applyBorder="1" applyAlignment="1">
      <alignment horizontal="left" indent="1"/>
    </xf>
    <xf numFmtId="0" fontId="54" fillId="0" borderId="13" xfId="0" applyFont="1" applyBorder="1" applyAlignment="1" applyProtection="1">
      <alignment horizontal="left" vertical="top" wrapText="1" indent="1"/>
    </xf>
    <xf numFmtId="0" fontId="54" fillId="0" borderId="14" xfId="0" applyFont="1" applyBorder="1" applyAlignment="1" applyProtection="1">
      <alignment horizontal="left" vertical="top" wrapText="1" indent="1"/>
    </xf>
    <xf numFmtId="0" fontId="54" fillId="0" borderId="23" xfId="0" applyFont="1" applyBorder="1" applyAlignment="1" applyProtection="1">
      <alignment horizontal="left" vertical="top" wrapText="1" indent="1"/>
    </xf>
    <xf numFmtId="0" fontId="54" fillId="0" borderId="24" xfId="0" applyFont="1" applyBorder="1" applyAlignment="1" applyProtection="1">
      <alignment horizontal="left" vertical="top" wrapText="1" indent="1"/>
    </xf>
    <xf numFmtId="0" fontId="49" fillId="2" borderId="0" xfId="0" applyFont="1" applyFill="1" applyBorder="1" applyAlignment="1" applyProtection="1">
      <alignment horizontal="left" vertical="center" wrapText="1"/>
    </xf>
    <xf numFmtId="0" fontId="49" fillId="2" borderId="14" xfId="0" applyFont="1" applyFill="1" applyBorder="1" applyAlignment="1" applyProtection="1">
      <alignment horizontal="left" vertical="center" wrapText="1"/>
    </xf>
    <xf numFmtId="0" fontId="41" fillId="8" borderId="13" xfId="0" applyFont="1" applyFill="1" applyBorder="1" applyAlignment="1" applyProtection="1">
      <alignment horizontal="center" vertical="center"/>
    </xf>
    <xf numFmtId="0" fontId="41" fillId="8" borderId="14" xfId="0" applyFont="1" applyFill="1" applyBorder="1" applyAlignment="1" applyProtection="1">
      <alignment horizontal="center" vertical="center"/>
    </xf>
    <xf numFmtId="0" fontId="41" fillId="8" borderId="23" xfId="0" applyFont="1" applyFill="1" applyBorder="1" applyAlignment="1" applyProtection="1">
      <alignment horizontal="center" vertical="center"/>
    </xf>
    <xf numFmtId="0" fontId="41" fillId="8" borderId="24" xfId="0" applyFont="1" applyFill="1" applyBorder="1" applyAlignment="1" applyProtection="1">
      <alignment horizontal="center" vertical="center"/>
    </xf>
    <xf numFmtId="168" fontId="14" fillId="4" borderId="16" xfId="2" applyNumberFormat="1" applyFont="1" applyFill="1" applyBorder="1" applyAlignment="1" applyProtection="1">
      <alignment horizontal="center" vertical="center"/>
      <protection locked="0"/>
    </xf>
    <xf numFmtId="9" fontId="14" fillId="0" borderId="32" xfId="0" applyNumberFormat="1" applyFont="1" applyBorder="1" applyAlignment="1">
      <alignment horizontal="center" vertical="center"/>
    </xf>
    <xf numFmtId="9" fontId="14" fillId="0" borderId="30" xfId="0" applyNumberFormat="1" applyFont="1" applyBorder="1" applyAlignment="1">
      <alignment horizontal="center" vertical="center"/>
    </xf>
    <xf numFmtId="9" fontId="14" fillId="0" borderId="26" xfId="0" applyNumberFormat="1" applyFont="1" applyBorder="1" applyAlignment="1">
      <alignment horizontal="center" vertical="center"/>
    </xf>
    <xf numFmtId="9" fontId="14" fillId="0" borderId="16" xfId="0" applyNumberFormat="1" applyFont="1" applyBorder="1" applyAlignment="1">
      <alignment horizontal="center" vertical="center"/>
    </xf>
    <xf numFmtId="49" fontId="14" fillId="11" borderId="30" xfId="0" applyNumberFormat="1" applyFont="1" applyFill="1" applyBorder="1" applyAlignment="1">
      <alignment horizontal="center" vertical="center"/>
    </xf>
    <xf numFmtId="49" fontId="14" fillId="11" borderId="26" xfId="0" applyNumberFormat="1" applyFont="1" applyFill="1" applyBorder="1" applyAlignment="1">
      <alignment horizontal="center" vertical="center"/>
    </xf>
    <xf numFmtId="0" fontId="14" fillId="11" borderId="30" xfId="0" applyFont="1" applyFill="1" applyBorder="1" applyAlignment="1">
      <alignment horizontal="center" vertical="center"/>
    </xf>
    <xf numFmtId="0" fontId="14" fillId="11" borderId="26" xfId="0" applyFont="1" applyFill="1" applyBorder="1" applyAlignment="1">
      <alignment horizontal="center" vertical="center"/>
    </xf>
    <xf numFmtId="0" fontId="20" fillId="0" borderId="14"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0" fillId="0" borderId="10" xfId="0" applyBorder="1" applyAlignment="1" applyProtection="1">
      <alignment horizontal="center"/>
      <protection locked="0"/>
    </xf>
    <xf numFmtId="0" fontId="9" fillId="2" borderId="0" xfId="0" applyFont="1" applyFill="1" applyBorder="1" applyAlignment="1" applyProtection="1">
      <alignment horizontal="right" wrapText="1"/>
    </xf>
    <xf numFmtId="168" fontId="14" fillId="6" borderId="16" xfId="0" applyNumberFormat="1" applyFont="1" applyFill="1" applyBorder="1" applyAlignment="1">
      <alignment horizontal="center" vertical="center"/>
    </xf>
    <xf numFmtId="0" fontId="14" fillId="6" borderId="16" xfId="0" applyFont="1" applyFill="1" applyBorder="1" applyAlignment="1">
      <alignment horizontal="center" vertical="center"/>
    </xf>
    <xf numFmtId="0" fontId="14" fillId="0" borderId="0" xfId="0" applyFont="1" applyBorder="1" applyAlignment="1">
      <alignment horizontal="left" vertical="center" wrapText="1" indent="2"/>
    </xf>
    <xf numFmtId="0" fontId="14" fillId="0" borderId="14" xfId="0" applyFont="1" applyBorder="1" applyAlignment="1">
      <alignment horizontal="left" vertical="center" wrapText="1" indent="2"/>
    </xf>
    <xf numFmtId="168" fontId="14" fillId="6" borderId="6" xfId="2" applyNumberFormat="1" applyFont="1" applyFill="1" applyBorder="1" applyAlignment="1" applyProtection="1">
      <alignment horizontal="center" vertical="center"/>
      <protection locked="0"/>
    </xf>
    <xf numFmtId="168" fontId="14" fillId="6" borderId="8" xfId="2" applyNumberFormat="1" applyFont="1" applyFill="1" applyBorder="1" applyAlignment="1" applyProtection="1">
      <alignment horizontal="center" vertical="center"/>
      <protection locked="0"/>
    </xf>
    <xf numFmtId="168" fontId="14" fillId="6" borderId="7" xfId="2" applyNumberFormat="1" applyFont="1" applyFill="1" applyBorder="1" applyAlignment="1" applyProtection="1">
      <alignment horizontal="center" vertical="center"/>
      <protection locked="0"/>
    </xf>
    <xf numFmtId="168" fontId="49" fillId="6" borderId="16" xfId="0" applyNumberFormat="1" applyFont="1" applyFill="1" applyBorder="1" applyAlignment="1">
      <alignment horizontal="center" vertical="center" wrapText="1"/>
    </xf>
    <xf numFmtId="0" fontId="49" fillId="6" borderId="16" xfId="0" applyFont="1" applyFill="1" applyBorder="1" applyAlignment="1">
      <alignment horizontal="center" vertical="center" wrapText="1"/>
    </xf>
    <xf numFmtId="168" fontId="49" fillId="6" borderId="6" xfId="2" applyNumberFormat="1" applyFont="1" applyFill="1" applyBorder="1" applyAlignment="1" applyProtection="1">
      <alignment horizontal="center" vertical="center" wrapText="1"/>
      <protection locked="0"/>
    </xf>
    <xf numFmtId="168" fontId="49" fillId="6" borderId="8" xfId="2" applyNumberFormat="1" applyFont="1" applyFill="1" applyBorder="1" applyAlignment="1" applyProtection="1">
      <alignment horizontal="center" vertical="center" wrapText="1"/>
      <protection locked="0"/>
    </xf>
    <xf numFmtId="168" fontId="49" fillId="6" borderId="7" xfId="2" applyNumberFormat="1" applyFont="1" applyFill="1" applyBorder="1" applyAlignment="1" applyProtection="1">
      <alignment horizontal="center" vertical="center" wrapText="1"/>
      <protection locked="0"/>
    </xf>
    <xf numFmtId="165" fontId="26" fillId="0" borderId="28" xfId="0" applyNumberFormat="1" applyFont="1" applyFill="1" applyBorder="1" applyAlignment="1" applyProtection="1">
      <alignment horizontal="center" vertical="center"/>
    </xf>
    <xf numFmtId="165" fontId="26" fillId="0" borderId="29" xfId="0" applyNumberFormat="1" applyFont="1" applyFill="1" applyBorder="1" applyAlignment="1" applyProtection="1">
      <alignment horizontal="center" vertical="center"/>
    </xf>
    <xf numFmtId="0" fontId="36" fillId="0" borderId="0" xfId="0" applyFont="1" applyBorder="1" applyAlignment="1" applyProtection="1">
      <alignment horizontal="center" vertical="top"/>
    </xf>
    <xf numFmtId="0" fontId="10" fillId="5" borderId="20" xfId="0" applyFont="1" applyFill="1" applyBorder="1" applyAlignment="1" applyProtection="1">
      <alignment horizontal="center" vertical="center"/>
    </xf>
    <xf numFmtId="0" fontId="10" fillId="5" borderId="19"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168" fontId="14" fillId="4" borderId="8" xfId="2" applyNumberFormat="1" applyFont="1" applyFill="1" applyBorder="1" applyAlignment="1" applyProtection="1">
      <alignment horizontal="center"/>
      <protection locked="0"/>
    </xf>
    <xf numFmtId="0" fontId="10" fillId="10" borderId="16"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47" fillId="0" borderId="0" xfId="0" applyFont="1" applyAlignment="1" applyProtection="1">
      <alignment horizontal="center" vertical="top" wrapText="1"/>
      <protection locked="0"/>
    </xf>
    <xf numFmtId="0" fontId="49" fillId="2" borderId="13" xfId="0" applyFont="1" applyFill="1" applyBorder="1" applyAlignment="1" applyProtection="1">
      <alignment horizontal="center" wrapText="1"/>
    </xf>
    <xf numFmtId="0" fontId="49" fillId="2" borderId="0" xfId="0" applyFont="1" applyFill="1" applyBorder="1" applyAlignment="1" applyProtection="1">
      <alignment horizontal="center" wrapText="1"/>
    </xf>
    <xf numFmtId="0" fontId="49" fillId="2" borderId="14" xfId="0" applyFont="1" applyFill="1" applyBorder="1" applyAlignment="1" applyProtection="1">
      <alignment horizontal="center" wrapText="1"/>
    </xf>
    <xf numFmtId="0" fontId="57" fillId="4" borderId="21" xfId="0" applyFont="1" applyFill="1" applyBorder="1" applyAlignment="1" applyProtection="1">
      <alignment horizontal="left" vertical="top" wrapText="1"/>
      <protection locked="0"/>
    </xf>
    <xf numFmtId="0" fontId="57" fillId="4" borderId="9" xfId="0" applyFont="1" applyFill="1" applyBorder="1" applyAlignment="1" applyProtection="1">
      <alignment horizontal="left" vertical="top" wrapText="1"/>
      <protection locked="0"/>
    </xf>
    <xf numFmtId="0" fontId="57" fillId="4" borderId="22" xfId="0" applyFont="1" applyFill="1" applyBorder="1" applyAlignment="1" applyProtection="1">
      <alignment horizontal="left" vertical="top" wrapText="1"/>
      <protection locked="0"/>
    </xf>
    <xf numFmtId="0" fontId="57" fillId="4" borderId="23" xfId="0" applyFont="1" applyFill="1" applyBorder="1" applyAlignment="1" applyProtection="1">
      <alignment horizontal="left" vertical="top" wrapText="1"/>
      <protection locked="0"/>
    </xf>
    <xf numFmtId="0" fontId="57" fillId="4" borderId="12" xfId="0" applyFont="1" applyFill="1" applyBorder="1" applyAlignment="1" applyProtection="1">
      <alignment horizontal="left" vertical="top" wrapText="1"/>
      <protection locked="0"/>
    </xf>
    <xf numFmtId="0" fontId="57" fillId="4" borderId="24"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xf>
    <xf numFmtId="0" fontId="33" fillId="5" borderId="20" xfId="0" applyFont="1" applyFill="1" applyBorder="1" applyAlignment="1" applyProtection="1">
      <alignment horizontal="center" vertical="center"/>
    </xf>
    <xf numFmtId="0" fontId="33" fillId="5" borderId="19" xfId="0" applyFont="1" applyFill="1" applyBorder="1" applyAlignment="1" applyProtection="1">
      <alignment horizontal="center" vertical="center"/>
    </xf>
    <xf numFmtId="0" fontId="33" fillId="5" borderId="18" xfId="0" applyFont="1" applyFill="1" applyBorder="1" applyAlignment="1" applyProtection="1">
      <alignment horizontal="center" vertical="center"/>
    </xf>
    <xf numFmtId="0" fontId="14" fillId="4" borderId="6"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wrapText="1"/>
      <protection locked="0"/>
    </xf>
    <xf numFmtId="0" fontId="10" fillId="10" borderId="8" xfId="0" applyFont="1" applyFill="1" applyBorder="1" applyAlignment="1" applyProtection="1">
      <alignment horizontal="center" vertical="center" wrapText="1"/>
      <protection locked="0"/>
    </xf>
    <xf numFmtId="0" fontId="10" fillId="10" borderId="7" xfId="0" applyFont="1" applyFill="1" applyBorder="1" applyAlignment="1" applyProtection="1">
      <alignment horizontal="center" vertical="center" wrapText="1"/>
      <protection locked="0"/>
    </xf>
    <xf numFmtId="168" fontId="9" fillId="0" borderId="0" xfId="2" applyNumberFormat="1" applyFont="1" applyBorder="1" applyAlignment="1" applyProtection="1">
      <alignment horizontal="right"/>
    </xf>
    <xf numFmtId="164" fontId="46" fillId="0" borderId="0" xfId="0" applyNumberFormat="1" applyFont="1" applyBorder="1" applyAlignment="1" applyProtection="1">
      <alignment horizontal="center" vertical="top"/>
    </xf>
    <xf numFmtId="168" fontId="13" fillId="6" borderId="6" xfId="2" applyNumberFormat="1" applyFont="1" applyFill="1" applyBorder="1" applyAlignment="1" applyProtection="1">
      <alignment horizontal="center" vertical="center"/>
    </xf>
    <xf numFmtId="168" fontId="13" fillId="6" borderId="8" xfId="2" applyNumberFormat="1" applyFont="1" applyFill="1" applyBorder="1" applyAlignment="1" applyProtection="1">
      <alignment horizontal="center" vertical="center"/>
    </xf>
    <xf numFmtId="168" fontId="13" fillId="6" borderId="7" xfId="2"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top" wrapText="1"/>
    </xf>
    <xf numFmtId="0" fontId="20" fillId="0" borderId="0" xfId="0" applyFont="1" applyBorder="1" applyAlignment="1" applyProtection="1">
      <alignment horizontal="center" vertical="top" wrapText="1"/>
    </xf>
    <xf numFmtId="0" fontId="41" fillId="8" borderId="30" xfId="0" applyFont="1" applyFill="1" applyBorder="1" applyAlignment="1" applyProtection="1">
      <alignment horizontal="center" vertical="center"/>
    </xf>
    <xf numFmtId="0" fontId="41" fillId="8" borderId="26" xfId="0" applyFont="1" applyFill="1" applyBorder="1" applyAlignment="1" applyProtection="1">
      <alignment horizontal="center" vertical="center"/>
    </xf>
    <xf numFmtId="0" fontId="41" fillId="8" borderId="16" xfId="0" applyFont="1" applyFill="1" applyBorder="1" applyAlignment="1" applyProtection="1">
      <alignment horizontal="center" vertical="center"/>
    </xf>
    <xf numFmtId="168" fontId="9" fillId="0" borderId="0" xfId="0" applyNumberFormat="1" applyFont="1" applyBorder="1" applyAlignment="1" applyProtection="1">
      <alignment horizontal="center"/>
    </xf>
    <xf numFmtId="0" fontId="18"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9" fillId="0" borderId="0" xfId="0" applyFont="1" applyBorder="1" applyAlignment="1" applyProtection="1">
      <alignment horizontal="center" wrapText="1"/>
    </xf>
    <xf numFmtId="0" fontId="43" fillId="2" borderId="0" xfId="0" applyFont="1" applyFill="1" applyBorder="1" applyAlignment="1" applyProtection="1">
      <alignment horizontal="center" vertical="center" wrapText="1"/>
    </xf>
    <xf numFmtId="0" fontId="37" fillId="0" borderId="10" xfId="0" applyFont="1" applyBorder="1" applyAlignment="1" applyProtection="1">
      <alignment horizontal="center" vertical="top" wrapText="1"/>
    </xf>
    <xf numFmtId="0" fontId="0" fillId="0" borderId="0" xfId="0" applyBorder="1" applyAlignment="1" applyProtection="1">
      <alignment horizontal="center" wrapText="1"/>
    </xf>
    <xf numFmtId="0" fontId="41" fillId="8" borderId="0" xfId="0" applyFont="1" applyFill="1" applyBorder="1" applyAlignment="1" applyProtection="1">
      <alignment horizontal="center" vertical="center"/>
    </xf>
    <xf numFmtId="0" fontId="41" fillId="8" borderId="12" xfId="0" applyFont="1" applyFill="1" applyBorder="1" applyAlignment="1" applyProtection="1">
      <alignment horizontal="center" vertical="center"/>
    </xf>
    <xf numFmtId="0" fontId="49" fillId="0" borderId="4" xfId="0" applyFont="1" applyBorder="1" applyAlignment="1" applyProtection="1">
      <alignment horizontal="left" vertical="center" wrapText="1" indent="3"/>
    </xf>
    <xf numFmtId="0" fontId="49" fillId="0" borderId="14" xfId="0" applyFont="1" applyBorder="1" applyAlignment="1" applyProtection="1">
      <alignment horizontal="left" vertical="center" wrapText="1" indent="3"/>
    </xf>
    <xf numFmtId="0" fontId="53" fillId="0" borderId="0" xfId="0" applyFont="1" applyBorder="1" applyAlignment="1" applyProtection="1">
      <alignment horizontal="left" vertical="center" wrapText="1"/>
    </xf>
    <xf numFmtId="0" fontId="14" fillId="4" borderId="16" xfId="0" applyFont="1" applyFill="1" applyBorder="1" applyAlignment="1" applyProtection="1">
      <alignment horizontal="center" vertical="center"/>
      <protection locked="0"/>
    </xf>
    <xf numFmtId="0" fontId="65" fillId="4" borderId="16" xfId="0" applyFont="1" applyFill="1" applyBorder="1" applyAlignment="1" applyProtection="1">
      <alignment horizontal="center" vertical="center" wrapText="1"/>
      <protection locked="0"/>
    </xf>
    <xf numFmtId="0" fontId="62" fillId="0" borderId="0" xfId="0" applyFont="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62" fillId="0" borderId="4" xfId="0" applyFont="1" applyBorder="1" applyAlignment="1" applyProtection="1">
      <alignment horizontal="center" vertical="center" wrapText="1"/>
    </xf>
    <xf numFmtId="0" fontId="49" fillId="0" borderId="4" xfId="0" applyFont="1" applyBorder="1" applyAlignment="1" applyProtection="1">
      <alignment horizontal="left" vertical="center" wrapText="1" indent="1"/>
    </xf>
    <xf numFmtId="0" fontId="49" fillId="0" borderId="0" xfId="0" applyFont="1" applyBorder="1" applyAlignment="1" applyProtection="1">
      <alignment horizontal="left" vertical="center" wrapText="1" indent="1"/>
    </xf>
    <xf numFmtId="0" fontId="50" fillId="4" borderId="6" xfId="0" applyFont="1" applyFill="1" applyBorder="1" applyAlignment="1" applyProtection="1">
      <alignment horizontal="center" vertical="center"/>
      <protection locked="0"/>
    </xf>
    <xf numFmtId="0" fontId="50" fillId="4" borderId="8"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vertical="center"/>
      <protection locked="0"/>
    </xf>
    <xf numFmtId="0" fontId="49" fillId="2" borderId="4" xfId="0" applyFont="1" applyFill="1" applyBorder="1" applyAlignment="1" applyProtection="1">
      <alignment horizontal="left" vertical="center" wrapText="1" indent="1"/>
    </xf>
    <xf numFmtId="0" fontId="49" fillId="2" borderId="0" xfId="0" applyFont="1" applyFill="1" applyBorder="1" applyAlignment="1" applyProtection="1">
      <alignment horizontal="left" vertical="center" wrapText="1" indent="1"/>
    </xf>
    <xf numFmtId="0" fontId="49" fillId="0" borderId="0" xfId="0" applyFont="1" applyBorder="1" applyAlignment="1" applyProtection="1">
      <alignment horizontal="left" vertical="center" wrapText="1"/>
    </xf>
    <xf numFmtId="0" fontId="49" fillId="0" borderId="14" xfId="0" applyFont="1" applyBorder="1" applyAlignment="1" applyProtection="1">
      <alignment horizontal="left" vertical="center" wrapText="1"/>
    </xf>
    <xf numFmtId="0" fontId="49" fillId="0" borderId="0" xfId="0" applyFont="1" applyBorder="1" applyAlignment="1" applyProtection="1">
      <alignment horizontal="left" vertical="top" wrapText="1"/>
    </xf>
    <xf numFmtId="9" fontId="14" fillId="4" borderId="6" xfId="1" applyFont="1" applyFill="1" applyBorder="1" applyAlignment="1" applyProtection="1">
      <alignment horizontal="center" vertical="center"/>
      <protection locked="0"/>
    </xf>
    <xf numFmtId="9" fontId="14" fillId="4" borderId="8" xfId="1" applyFont="1" applyFill="1" applyBorder="1" applyAlignment="1" applyProtection="1">
      <alignment horizontal="center" vertical="center"/>
      <protection locked="0"/>
    </xf>
    <xf numFmtId="9" fontId="14" fillId="4" borderId="7" xfId="1" applyFont="1" applyFill="1" applyBorder="1" applyAlignment="1" applyProtection="1">
      <alignment horizontal="center" vertical="center"/>
      <protection locked="0"/>
    </xf>
    <xf numFmtId="0" fontId="62" fillId="0" borderId="5" xfId="0" applyFont="1" applyBorder="1" applyAlignment="1" applyProtection="1">
      <alignment horizontal="center" vertical="center" wrapText="1"/>
    </xf>
    <xf numFmtId="0" fontId="20" fillId="0" borderId="13"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2" borderId="0"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4" fillId="0" borderId="10" xfId="0" applyFont="1" applyBorder="1" applyAlignment="1" applyProtection="1">
      <alignment vertical="center" wrapText="1"/>
    </xf>
    <xf numFmtId="0" fontId="25" fillId="0" borderId="10" xfId="0" applyFont="1" applyBorder="1" applyAlignment="1" applyProtection="1">
      <alignment vertical="center"/>
    </xf>
    <xf numFmtId="0" fontId="34" fillId="5" borderId="19" xfId="0" applyFont="1" applyFill="1" applyBorder="1" applyAlignment="1" applyProtection="1">
      <alignment horizontal="center" vertical="center"/>
    </xf>
    <xf numFmtId="0" fontId="34" fillId="5" borderId="18" xfId="0" applyFont="1" applyFill="1" applyBorder="1" applyAlignment="1" applyProtection="1">
      <alignment horizontal="center" vertical="center"/>
    </xf>
    <xf numFmtId="0" fontId="49" fillId="2" borderId="4" xfId="0" applyFont="1" applyFill="1" applyBorder="1" applyAlignment="1" applyProtection="1">
      <alignment horizontal="left" vertical="center" indent="1"/>
    </xf>
    <xf numFmtId="0" fontId="49" fillId="2" borderId="0" xfId="0" applyFont="1" applyFill="1" applyBorder="1" applyAlignment="1" applyProtection="1">
      <alignment horizontal="left" vertical="center" indent="1"/>
    </xf>
    <xf numFmtId="0" fontId="35" fillId="4" borderId="6" xfId="0" applyFont="1" applyFill="1" applyBorder="1" applyAlignment="1" applyProtection="1">
      <alignment horizontal="center" vertical="center"/>
      <protection locked="0"/>
    </xf>
    <xf numFmtId="0" fontId="35" fillId="4" borderId="8"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0" fontId="49" fillId="2" borderId="0" xfId="0" applyFont="1" applyFill="1" applyBorder="1" applyAlignment="1" applyProtection="1">
      <alignment horizontal="left" vertical="center"/>
    </xf>
    <xf numFmtId="0" fontId="49" fillId="2" borderId="14" xfId="0" applyFont="1" applyFill="1" applyBorder="1" applyAlignment="1" applyProtection="1">
      <alignment horizontal="left" vertical="center"/>
    </xf>
    <xf numFmtId="0" fontId="14" fillId="4" borderId="6"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protection locked="0"/>
    </xf>
    <xf numFmtId="0" fontId="66" fillId="0" borderId="0" xfId="0" applyFont="1" applyBorder="1" applyAlignment="1" applyProtection="1">
      <alignment horizontal="center" vertical="center" wrapText="1"/>
    </xf>
    <xf numFmtId="0" fontId="49" fillId="2" borderId="4" xfId="0" applyFont="1" applyFill="1" applyBorder="1" applyAlignment="1" applyProtection="1">
      <alignment horizontal="left" vertical="top" indent="1"/>
    </xf>
    <xf numFmtId="0" fontId="49" fillId="2" borderId="0" xfId="0" applyFont="1" applyFill="1" applyBorder="1" applyAlignment="1" applyProtection="1">
      <alignment horizontal="left" vertical="top" indent="1"/>
    </xf>
    <xf numFmtId="0" fontId="6" fillId="2" borderId="4" xfId="0" applyFont="1" applyFill="1" applyBorder="1" applyAlignment="1" applyProtection="1">
      <alignment horizontal="left" vertical="center" indent="3"/>
    </xf>
    <xf numFmtId="0" fontId="6" fillId="2" borderId="0" xfId="0" applyFont="1" applyFill="1" applyBorder="1" applyAlignment="1" applyProtection="1">
      <alignment horizontal="left" vertical="center" indent="3"/>
    </xf>
    <xf numFmtId="0" fontId="35" fillId="0" borderId="0" xfId="0" applyFont="1" applyBorder="1" applyAlignment="1" applyProtection="1">
      <alignment horizontal="left" vertical="center" wrapText="1" indent="2"/>
    </xf>
    <xf numFmtId="0" fontId="49" fillId="2" borderId="4" xfId="0" applyFont="1" applyFill="1" applyBorder="1" applyAlignment="1" applyProtection="1">
      <alignment horizontal="left" vertical="top" wrapText="1" indent="1"/>
    </xf>
    <xf numFmtId="0" fontId="49" fillId="2" borderId="0" xfId="0" applyFont="1" applyFill="1" applyBorder="1" applyAlignment="1" applyProtection="1">
      <alignment horizontal="left" vertical="top" wrapText="1" indent="1"/>
    </xf>
    <xf numFmtId="0" fontId="24" fillId="0" borderId="12" xfId="0" applyFont="1" applyBorder="1" applyAlignment="1" applyProtection="1">
      <alignment horizontal="center" vertical="center"/>
    </xf>
    <xf numFmtId="168" fontId="14" fillId="2" borderId="0" xfId="2" applyNumberFormat="1" applyFont="1" applyFill="1" applyBorder="1" applyAlignment="1" applyProtection="1">
      <alignment horizontal="center" vertical="center"/>
    </xf>
    <xf numFmtId="0" fontId="33" fillId="5" borderId="33" xfId="0" applyFont="1" applyFill="1" applyBorder="1" applyAlignment="1" applyProtection="1">
      <alignment horizontal="center" vertical="center"/>
    </xf>
    <xf numFmtId="0" fontId="33" fillId="5" borderId="34" xfId="0" applyFont="1" applyFill="1" applyBorder="1" applyAlignment="1" applyProtection="1">
      <alignment horizontal="center" vertical="center"/>
    </xf>
    <xf numFmtId="0" fontId="33" fillId="5" borderId="35" xfId="0" applyFont="1" applyFill="1" applyBorder="1" applyAlignment="1" applyProtection="1">
      <alignment horizontal="center" vertical="center"/>
    </xf>
    <xf numFmtId="0" fontId="14" fillId="2" borderId="0" xfId="0" applyFont="1" applyFill="1" applyBorder="1" applyAlignment="1" applyProtection="1">
      <alignment horizontal="left" vertical="top" wrapText="1"/>
    </xf>
    <xf numFmtId="0" fontId="0" fillId="4" borderId="6" xfId="0" applyFill="1" applyBorder="1" applyAlignment="1">
      <alignment horizontal="center"/>
    </xf>
    <xf numFmtId="0" fontId="0" fillId="4" borderId="7" xfId="0" applyFill="1" applyBorder="1" applyAlignment="1">
      <alignment horizontal="center"/>
    </xf>
    <xf numFmtId="168" fontId="14" fillId="6" borderId="6" xfId="2" applyNumberFormat="1" applyFont="1" applyFill="1" applyBorder="1" applyAlignment="1" applyProtection="1">
      <alignment horizontal="center" vertical="center"/>
    </xf>
    <xf numFmtId="168" fontId="14" fillId="6" borderId="7" xfId="2" applyNumberFormat="1"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168" fontId="14" fillId="6" borderId="6" xfId="0" applyNumberFormat="1" applyFont="1" applyFill="1" applyBorder="1" applyAlignment="1">
      <alignment horizontal="center" vertical="center"/>
    </xf>
    <xf numFmtId="168" fontId="14" fillId="6" borderId="7" xfId="0" applyNumberFormat="1" applyFont="1" applyFill="1" applyBorder="1" applyAlignment="1">
      <alignment horizontal="center" vertical="center"/>
    </xf>
    <xf numFmtId="168" fontId="14" fillId="4" borderId="6" xfId="2" applyNumberFormat="1" applyFont="1" applyFill="1" applyBorder="1" applyAlignment="1">
      <alignment horizontal="center" vertical="center"/>
    </xf>
    <xf numFmtId="168" fontId="14" fillId="4" borderId="7" xfId="2" applyNumberFormat="1" applyFont="1" applyFill="1" applyBorder="1" applyAlignment="1">
      <alignment horizontal="center" vertical="center"/>
    </xf>
    <xf numFmtId="0" fontId="49" fillId="6" borderId="6" xfId="0" applyFont="1" applyFill="1" applyBorder="1" applyAlignment="1">
      <alignment horizontal="center"/>
    </xf>
    <xf numFmtId="0" fontId="49" fillId="6" borderId="8" xfId="0" applyFont="1" applyFill="1" applyBorder="1" applyAlignment="1">
      <alignment horizontal="center"/>
    </xf>
    <xf numFmtId="0" fontId="49" fillId="6" borderId="7" xfId="0" applyFont="1" applyFill="1" applyBorder="1" applyAlignment="1">
      <alignment horizontal="center"/>
    </xf>
    <xf numFmtId="168" fontId="67" fillId="6" borderId="6" xfId="0" applyNumberFormat="1" applyFont="1" applyFill="1" applyBorder="1" applyAlignment="1">
      <alignment horizontal="center" vertical="center"/>
    </xf>
    <xf numFmtId="168" fontId="67" fillId="6" borderId="7" xfId="0" applyNumberFormat="1" applyFont="1" applyFill="1" applyBorder="1" applyAlignment="1">
      <alignment horizontal="center" vertical="center"/>
    </xf>
    <xf numFmtId="168" fontId="9" fillId="6" borderId="6" xfId="2" applyNumberFormat="1" applyFont="1" applyFill="1" applyBorder="1" applyAlignment="1">
      <alignment horizontal="center" vertical="center"/>
    </xf>
    <xf numFmtId="168" fontId="9" fillId="6" borderId="7" xfId="2" applyNumberFormat="1" applyFont="1" applyFill="1" applyBorder="1" applyAlignment="1">
      <alignment horizontal="center" vertical="center"/>
    </xf>
    <xf numFmtId="168" fontId="49" fillId="2" borderId="0" xfId="2" applyNumberFormat="1" applyFont="1" applyFill="1" applyBorder="1" applyAlignment="1" applyProtection="1">
      <alignment horizontal="center" vertical="center"/>
    </xf>
    <xf numFmtId="168" fontId="14" fillId="2" borderId="0" xfId="2" applyNumberFormat="1" applyFont="1" applyFill="1" applyBorder="1" applyAlignment="1" applyProtection="1">
      <alignment horizontal="center"/>
      <protection locked="0"/>
    </xf>
    <xf numFmtId="0" fontId="0" fillId="2" borderId="0" xfId="0" applyFill="1" applyBorder="1" applyAlignment="1">
      <alignment horizontal="center"/>
    </xf>
    <xf numFmtId="9" fontId="14" fillId="4" borderId="6" xfId="1" applyFont="1" applyFill="1" applyBorder="1" applyAlignment="1">
      <alignment horizontal="center" vertical="center"/>
    </xf>
    <xf numFmtId="9" fontId="14" fillId="4" borderId="7" xfId="1" applyFont="1" applyFill="1" applyBorder="1" applyAlignment="1">
      <alignment horizontal="center" vertical="center"/>
    </xf>
    <xf numFmtId="0" fontId="18" fillId="2" borderId="0" xfId="0" applyFont="1" applyFill="1" applyBorder="1" applyAlignment="1">
      <alignment horizontal="left" vertical="center" wrapText="1"/>
    </xf>
    <xf numFmtId="0" fontId="49" fillId="2" borderId="13" xfId="0" applyFont="1" applyFill="1" applyBorder="1" applyAlignment="1" applyProtection="1">
      <alignment horizontal="left" wrapText="1" indent="1"/>
    </xf>
    <xf numFmtId="0" fontId="49" fillId="2" borderId="0" xfId="0" applyFont="1" applyFill="1" applyBorder="1" applyAlignment="1" applyProtection="1">
      <alignment horizontal="left" wrapText="1" indent="1"/>
    </xf>
    <xf numFmtId="0" fontId="49" fillId="2" borderId="13" xfId="0" applyFont="1" applyFill="1" applyBorder="1" applyAlignment="1" applyProtection="1">
      <alignment horizontal="left" vertical="center" wrapText="1" indent="1"/>
    </xf>
    <xf numFmtId="0" fontId="0" fillId="0" borderId="0" xfId="0" applyFont="1" applyBorder="1" applyAlignment="1">
      <alignment horizontal="left" wrapText="1"/>
    </xf>
    <xf numFmtId="1" fontId="0" fillId="4" borderId="6" xfId="0" applyNumberFormat="1" applyFill="1" applyBorder="1" applyAlignment="1">
      <alignment horizontal="center" vertical="center"/>
    </xf>
    <xf numFmtId="1" fontId="0" fillId="4" borderId="7" xfId="0" applyNumberFormat="1" applyFill="1" applyBorder="1" applyAlignment="1">
      <alignment horizontal="center" vertical="center"/>
    </xf>
    <xf numFmtId="0" fontId="6" fillId="0" borderId="0" xfId="0" applyFont="1" applyBorder="1" applyAlignment="1">
      <alignment horizontal="left" vertical="center"/>
    </xf>
    <xf numFmtId="168" fontId="49" fillId="6" borderId="6" xfId="2" applyNumberFormat="1" applyFont="1" applyFill="1" applyBorder="1" applyAlignment="1" applyProtection="1">
      <alignment horizontal="center" vertical="center"/>
    </xf>
    <xf numFmtId="168" fontId="49" fillId="6" borderId="7" xfId="2" applyNumberFormat="1" applyFont="1" applyFill="1" applyBorder="1" applyAlignment="1" applyProtection="1">
      <alignment horizontal="center" vertical="center"/>
    </xf>
    <xf numFmtId="0" fontId="9" fillId="2" borderId="12"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5" borderId="10"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indent="2"/>
    </xf>
    <xf numFmtId="0" fontId="9" fillId="2" borderId="0" xfId="0" applyFont="1" applyFill="1" applyBorder="1" applyAlignment="1" applyProtection="1">
      <alignment horizontal="left" vertical="center" wrapText="1" indent="2"/>
    </xf>
    <xf numFmtId="0" fontId="45" fillId="4" borderId="21" xfId="0" applyFont="1" applyFill="1" applyBorder="1" applyAlignment="1" applyProtection="1">
      <alignment horizontal="left" vertical="top" wrapText="1"/>
      <protection locked="0"/>
    </xf>
    <xf numFmtId="0" fontId="45" fillId="4" borderId="9" xfId="0" applyFont="1" applyFill="1" applyBorder="1" applyAlignment="1" applyProtection="1">
      <alignment horizontal="left" vertical="top" wrapText="1"/>
      <protection locked="0"/>
    </xf>
    <xf numFmtId="0" fontId="45" fillId="4" borderId="22" xfId="0" applyFont="1" applyFill="1" applyBorder="1" applyAlignment="1" applyProtection="1">
      <alignment horizontal="left" vertical="top" wrapText="1"/>
      <protection locked="0"/>
    </xf>
    <xf numFmtId="0" fontId="45" fillId="4" borderId="13" xfId="0" applyFont="1" applyFill="1" applyBorder="1" applyAlignment="1" applyProtection="1">
      <alignment horizontal="left" vertical="top" wrapText="1"/>
      <protection locked="0"/>
    </xf>
    <xf numFmtId="0" fontId="45" fillId="4" borderId="0" xfId="0" applyFont="1" applyFill="1" applyBorder="1" applyAlignment="1" applyProtection="1">
      <alignment horizontal="left" vertical="top" wrapText="1"/>
      <protection locked="0"/>
    </xf>
    <xf numFmtId="0" fontId="45" fillId="4" borderId="14" xfId="0" applyFont="1" applyFill="1" applyBorder="1" applyAlignment="1" applyProtection="1">
      <alignment horizontal="left" vertical="top" wrapText="1"/>
      <protection locked="0"/>
    </xf>
    <xf numFmtId="0" fontId="45" fillId="4" borderId="23" xfId="0" applyFont="1" applyFill="1" applyBorder="1" applyAlignment="1" applyProtection="1">
      <alignment horizontal="left" vertical="top" wrapText="1"/>
      <protection locked="0"/>
    </xf>
    <xf numFmtId="0" fontId="45" fillId="4" borderId="12" xfId="0" applyFont="1" applyFill="1" applyBorder="1" applyAlignment="1" applyProtection="1">
      <alignment horizontal="left" vertical="top" wrapText="1"/>
      <protection locked="0"/>
    </xf>
    <xf numFmtId="0" fontId="45" fillId="4" borderId="24" xfId="0" applyFont="1" applyFill="1" applyBorder="1" applyAlignment="1" applyProtection="1">
      <alignment horizontal="left" vertical="top" wrapText="1"/>
      <protection locked="0"/>
    </xf>
    <xf numFmtId="0" fontId="9" fillId="2" borderId="0" xfId="0" applyFont="1" applyFill="1" applyBorder="1" applyAlignment="1" applyProtection="1">
      <alignment horizontal="right" vertical="center"/>
    </xf>
    <xf numFmtId="0" fontId="9" fillId="2" borderId="4" xfId="0" applyFont="1" applyFill="1" applyBorder="1" applyAlignment="1" applyProtection="1">
      <alignment horizontal="right" wrapText="1"/>
    </xf>
    <xf numFmtId="0" fontId="2" fillId="0" borderId="0" xfId="0" applyFont="1" applyAlignment="1" applyProtection="1">
      <alignment horizontal="center" wrapText="1"/>
    </xf>
    <xf numFmtId="0" fontId="2"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9" fillId="2" borderId="4" xfId="0" applyFont="1" applyFill="1" applyBorder="1" applyAlignment="1" applyProtection="1">
      <alignment horizontal="left" wrapText="1" indent="2"/>
    </xf>
    <xf numFmtId="0" fontId="9" fillId="2" borderId="0" xfId="0" applyFont="1" applyFill="1" applyBorder="1" applyAlignment="1" applyProtection="1">
      <alignment horizontal="left" wrapText="1" indent="2"/>
    </xf>
    <xf numFmtId="0" fontId="20" fillId="0" borderId="4" xfId="0" applyFont="1" applyBorder="1" applyAlignment="1" applyProtection="1">
      <alignment horizontal="center"/>
    </xf>
    <xf numFmtId="0" fontId="20" fillId="0" borderId="0" xfId="0" applyFont="1" applyAlignment="1" applyProtection="1">
      <alignment horizontal="center"/>
    </xf>
    <xf numFmtId="0" fontId="20" fillId="0" borderId="4" xfId="0" applyFont="1" applyBorder="1" applyAlignment="1" applyProtection="1">
      <alignment horizontal="center" wrapText="1"/>
    </xf>
    <xf numFmtId="0" fontId="20" fillId="0" borderId="0" xfId="0" applyFont="1" applyAlignment="1" applyProtection="1">
      <alignment horizontal="center" wrapText="1"/>
    </xf>
    <xf numFmtId="0" fontId="20" fillId="0" borderId="4" xfId="0" applyFont="1" applyBorder="1" applyAlignment="1" applyProtection="1">
      <alignment horizontal="center" vertical="top" wrapText="1"/>
    </xf>
    <xf numFmtId="0" fontId="20" fillId="0" borderId="0" xfId="0" applyFont="1" applyAlignment="1" applyProtection="1">
      <alignment horizontal="center" vertical="top" wrapText="1"/>
    </xf>
    <xf numFmtId="0" fontId="2" fillId="0" borderId="0" xfId="0" applyFont="1" applyBorder="1" applyAlignment="1" applyProtection="1"/>
    <xf numFmtId="0" fontId="4" fillId="2" borderId="0" xfId="0" applyFont="1" applyFill="1" applyBorder="1" applyAlignment="1" applyProtection="1">
      <alignment horizontal="left" vertical="center"/>
    </xf>
    <xf numFmtId="0" fontId="2" fillId="0" borderId="0" xfId="0" applyFont="1" applyBorder="1" applyAlignment="1" applyProtection="1">
      <alignment horizontal="left"/>
    </xf>
    <xf numFmtId="0" fontId="4" fillId="0" borderId="0" xfId="0" applyFont="1" applyBorder="1" applyAlignment="1" applyProtection="1">
      <alignment horizontal="left"/>
    </xf>
    <xf numFmtId="0" fontId="31" fillId="0" borderId="0" xfId="0" applyFont="1" applyBorder="1" applyAlignment="1" applyProtection="1">
      <alignment horizontal="center" vertical="top" wrapText="1"/>
    </xf>
    <xf numFmtId="165" fontId="13" fillId="6" borderId="15" xfId="0" applyNumberFormat="1" applyFont="1" applyFill="1" applyBorder="1" applyAlignment="1" applyProtection="1">
      <alignment horizontal="center" vertical="center" wrapText="1"/>
    </xf>
    <xf numFmtId="165" fontId="13" fillId="6" borderId="11"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2" fillId="2" borderId="1" xfId="0" quotePrefix="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165" fontId="23" fillId="2" borderId="2" xfId="0" applyNumberFormat="1" applyFont="1" applyFill="1" applyBorder="1" applyAlignment="1" applyProtection="1">
      <alignment horizontal="center" vertical="center" wrapText="1"/>
    </xf>
    <xf numFmtId="165" fontId="23" fillId="2" borderId="3" xfId="0" applyNumberFormat="1" applyFont="1" applyFill="1" applyBorder="1" applyAlignment="1" applyProtection="1">
      <alignment horizontal="center" vertical="center" wrapText="1"/>
    </xf>
    <xf numFmtId="165" fontId="23" fillId="2" borderId="0" xfId="0" applyNumberFormat="1" applyFont="1" applyFill="1" applyBorder="1" applyAlignment="1" applyProtection="1">
      <alignment horizontal="center" vertical="center" wrapText="1"/>
    </xf>
    <xf numFmtId="165" fontId="23" fillId="2" borderId="5" xfId="0" applyNumberFormat="1" applyFont="1" applyFill="1" applyBorder="1" applyAlignment="1" applyProtection="1">
      <alignment horizontal="center" vertical="center" wrapText="1"/>
    </xf>
    <xf numFmtId="165" fontId="23" fillId="2" borderId="10" xfId="0" applyNumberFormat="1" applyFont="1" applyFill="1" applyBorder="1" applyAlignment="1" applyProtection="1">
      <alignment horizontal="center" vertical="center" wrapText="1"/>
    </xf>
    <xf numFmtId="165" fontId="23" fillId="2" borderId="11" xfId="0" applyNumberFormat="1" applyFont="1" applyFill="1" applyBorder="1" applyAlignment="1" applyProtection="1">
      <alignment horizontal="center" vertical="center" wrapText="1"/>
    </xf>
    <xf numFmtId="0" fontId="13" fillId="6" borderId="15" xfId="0" applyFont="1" applyFill="1" applyBorder="1" applyAlignment="1" applyProtection="1">
      <alignment horizontal="center" vertical="center" wrapText="1"/>
    </xf>
    <xf numFmtId="0" fontId="13" fillId="6" borderId="10" xfId="0" applyFont="1" applyFill="1" applyBorder="1" applyAlignment="1" applyProtection="1">
      <alignment horizontal="center" vertical="center" wrapText="1"/>
    </xf>
    <xf numFmtId="0" fontId="13" fillId="6" borderId="11" xfId="0" applyFont="1" applyFill="1" applyBorder="1" applyAlignment="1" applyProtection="1">
      <alignment horizontal="center" vertical="center" wrapText="1"/>
    </xf>
    <xf numFmtId="0" fontId="49" fillId="4" borderId="16" xfId="0" applyFont="1" applyFill="1" applyBorder="1" applyAlignment="1" applyProtection="1">
      <alignment horizontal="center" vertical="center"/>
      <protection locked="0"/>
    </xf>
    <xf numFmtId="0" fontId="9" fillId="0" borderId="0" xfId="0" applyFont="1" applyBorder="1" applyAlignment="1" applyProtection="1">
      <alignment horizontal="left" vertical="center" wrapText="1"/>
    </xf>
    <xf numFmtId="165" fontId="13" fillId="6" borderId="20" xfId="0" applyNumberFormat="1" applyFont="1" applyFill="1" applyBorder="1" applyAlignment="1" applyProtection="1">
      <alignment horizontal="center" vertical="center" wrapText="1"/>
    </xf>
    <xf numFmtId="165" fontId="13" fillId="6" borderId="19" xfId="0" applyNumberFormat="1" applyFont="1" applyFill="1" applyBorder="1" applyAlignment="1" applyProtection="1">
      <alignment horizontal="center" vertical="center" wrapText="1"/>
    </xf>
    <xf numFmtId="44" fontId="14" fillId="4" borderId="6" xfId="2" applyFont="1" applyFill="1" applyBorder="1" applyAlignment="1" applyProtection="1">
      <alignment horizontal="center" vertical="center"/>
      <protection locked="0"/>
    </xf>
    <xf numFmtId="44" fontId="14" fillId="4" borderId="7" xfId="2" applyFont="1" applyFill="1" applyBorder="1" applyAlignment="1" applyProtection="1">
      <alignment horizontal="center" vertical="center"/>
      <protection locked="0"/>
    </xf>
    <xf numFmtId="0" fontId="13" fillId="6" borderId="20" xfId="0" applyFont="1" applyFill="1" applyBorder="1" applyAlignment="1" applyProtection="1">
      <alignment horizontal="center" vertical="center" wrapText="1"/>
    </xf>
    <xf numFmtId="0" fontId="13" fillId="6" borderId="19" xfId="0" applyFont="1" applyFill="1" applyBorder="1" applyAlignment="1" applyProtection="1">
      <alignment horizontal="center" vertical="center" wrapText="1"/>
    </xf>
    <xf numFmtId="0" fontId="13" fillId="6" borderId="18" xfId="0" applyFont="1" applyFill="1" applyBorder="1" applyAlignment="1" applyProtection="1">
      <alignment horizontal="center" vertical="center" wrapText="1"/>
    </xf>
    <xf numFmtId="168" fontId="21" fillId="0" borderId="10" xfId="0" applyNumberFormat="1" applyFont="1" applyBorder="1" applyAlignment="1" applyProtection="1">
      <alignment horizontal="center" vertical="top" wrapText="1"/>
    </xf>
    <xf numFmtId="0" fontId="49" fillId="6" borderId="6" xfId="0" quotePrefix="1" applyFont="1" applyFill="1" applyBorder="1" applyAlignment="1" applyProtection="1">
      <alignment horizontal="center" vertical="top" wrapText="1"/>
    </xf>
    <xf numFmtId="0" fontId="49" fillId="6" borderId="8" xfId="0" quotePrefix="1" applyFont="1" applyFill="1" applyBorder="1" applyAlignment="1" applyProtection="1">
      <alignment horizontal="center" vertical="top" wrapText="1"/>
    </xf>
    <xf numFmtId="0" fontId="49" fillId="6" borderId="7" xfId="0" quotePrefix="1" applyFont="1" applyFill="1" applyBorder="1" applyAlignment="1" applyProtection="1">
      <alignment horizontal="center" vertical="top" wrapText="1"/>
    </xf>
    <xf numFmtId="0" fontId="49" fillId="3" borderId="23" xfId="0" quotePrefix="1" applyFont="1" applyFill="1" applyBorder="1" applyAlignment="1" applyProtection="1">
      <alignment horizontal="left" vertical="top" wrapText="1" indent="2"/>
    </xf>
    <xf numFmtId="0" fontId="49" fillId="3" borderId="12" xfId="0" quotePrefix="1" applyFont="1" applyFill="1" applyBorder="1" applyAlignment="1" applyProtection="1">
      <alignment horizontal="left" vertical="top" wrapText="1" indent="2"/>
    </xf>
    <xf numFmtId="0" fontId="49" fillId="3" borderId="24" xfId="0" quotePrefix="1" applyFont="1" applyFill="1" applyBorder="1" applyAlignment="1" applyProtection="1">
      <alignment horizontal="left" vertical="top" wrapText="1" indent="2"/>
    </xf>
    <xf numFmtId="0" fontId="41" fillId="5" borderId="0" xfId="0" applyFont="1" applyFill="1" applyBorder="1" applyAlignment="1" applyProtection="1">
      <alignment horizontal="center"/>
    </xf>
    <xf numFmtId="0" fontId="41" fillId="5" borderId="14" xfId="0" applyFont="1" applyFill="1" applyBorder="1" applyAlignment="1" applyProtection="1">
      <alignment horizontal="center"/>
    </xf>
    <xf numFmtId="0" fontId="49" fillId="6" borderId="16" xfId="0" quotePrefix="1" applyFont="1" applyFill="1" applyBorder="1" applyAlignment="1" applyProtection="1">
      <alignment horizontal="center" vertical="top" wrapText="1"/>
    </xf>
    <xf numFmtId="0" fontId="41" fillId="5" borderId="6" xfId="0" applyFont="1" applyFill="1" applyBorder="1" applyAlignment="1" applyProtection="1">
      <alignment horizontal="center" vertical="center"/>
    </xf>
    <xf numFmtId="0" fontId="41" fillId="5" borderId="7" xfId="0" applyFont="1" applyFill="1" applyBorder="1" applyAlignment="1" applyProtection="1">
      <alignment horizontal="center" vertical="center"/>
    </xf>
    <xf numFmtId="0" fontId="62" fillId="2" borderId="0" xfId="0" applyFont="1" applyFill="1" applyBorder="1" applyAlignment="1" applyProtection="1">
      <alignment horizontal="center" vertical="top" wrapText="1"/>
    </xf>
    <xf numFmtId="0" fontId="62" fillId="2" borderId="12" xfId="0" applyFont="1" applyFill="1" applyBorder="1" applyAlignment="1" applyProtection="1">
      <alignment horizontal="center" vertical="top" wrapText="1"/>
    </xf>
    <xf numFmtId="0" fontId="20" fillId="0" borderId="4" xfId="0" applyFont="1" applyBorder="1" applyAlignment="1" applyProtection="1">
      <alignment horizontal="left" vertical="top" wrapText="1"/>
    </xf>
    <xf numFmtId="0" fontId="24" fillId="0" borderId="10" xfId="0" applyFont="1" applyBorder="1" applyAlignment="1" applyProtection="1">
      <alignment vertical="center"/>
    </xf>
    <xf numFmtId="0" fontId="21" fillId="0" borderId="4" xfId="0" applyFont="1" applyBorder="1" applyAlignment="1" applyProtection="1">
      <alignment horizontal="center" vertical="center" wrapText="1"/>
    </xf>
    <xf numFmtId="0" fontId="49" fillId="2" borderId="0" xfId="0" applyFont="1" applyFill="1" applyBorder="1" applyAlignment="1" applyProtection="1">
      <alignment horizontal="right" vertical="top" wrapText="1"/>
    </xf>
    <xf numFmtId="0" fontId="49" fillId="3" borderId="6" xfId="0" quotePrefix="1" applyFont="1" applyFill="1" applyBorder="1" applyAlignment="1" applyProtection="1">
      <alignment horizontal="left" vertical="top" wrapText="1" indent="2"/>
    </xf>
    <xf numFmtId="0" fontId="49" fillId="3" borderId="8" xfId="0" quotePrefix="1" applyFont="1" applyFill="1" applyBorder="1" applyAlignment="1" applyProtection="1">
      <alignment horizontal="left" vertical="top" wrapText="1" indent="2"/>
    </xf>
    <xf numFmtId="0" fontId="49" fillId="3" borderId="7" xfId="0" quotePrefix="1" applyFont="1" applyFill="1" applyBorder="1" applyAlignment="1" applyProtection="1">
      <alignment horizontal="left" vertical="top" wrapText="1" indent="2"/>
    </xf>
    <xf numFmtId="2" fontId="49" fillId="4" borderId="16" xfId="1" applyNumberFormat="1" applyFont="1" applyFill="1" applyBorder="1" applyAlignment="1" applyProtection="1">
      <alignment horizontal="center" vertical="center" wrapText="1"/>
    </xf>
  </cellXfs>
  <cellStyles count="3">
    <cellStyle name="Currency" xfId="2" builtinId="4"/>
    <cellStyle name="Normal" xfId="0" builtinId="0"/>
    <cellStyle name="Percent" xfId="1" builtinId="5"/>
  </cellStyles>
  <dxfs count="46">
    <dxf>
      <font>
        <b/>
        <i val="0"/>
        <color theme="0"/>
      </font>
      <fill>
        <patternFill>
          <bgColor rgb="FFFF0000"/>
        </patternFill>
      </fill>
    </dxf>
    <dxf>
      <font>
        <b/>
        <i val="0"/>
      </font>
      <fill>
        <patternFill>
          <bgColor theme="5"/>
        </patternFill>
      </fill>
    </dxf>
    <dxf>
      <font>
        <b/>
        <i val="0"/>
      </font>
      <fill>
        <patternFill>
          <bgColor theme="6"/>
        </patternFill>
      </fill>
    </dxf>
    <dxf>
      <fill>
        <patternFill>
          <bgColor theme="0" tint="-0.14996795556505021"/>
        </patternFill>
      </fill>
    </dxf>
    <dxf>
      <font>
        <b/>
        <i val="0"/>
      </font>
      <fill>
        <patternFill>
          <bgColor theme="5"/>
        </patternFill>
      </fill>
    </dxf>
    <dxf>
      <font>
        <b/>
        <i val="0"/>
      </font>
      <fill>
        <patternFill>
          <bgColor theme="6"/>
        </patternFill>
      </fill>
    </dxf>
    <dxf>
      <fill>
        <patternFill>
          <bgColor theme="0" tint="-0.14996795556505021"/>
        </patternFill>
      </fill>
    </dxf>
    <dxf>
      <font>
        <color theme="0" tint="-4.9989318521683403E-2"/>
      </font>
    </dxf>
    <dxf>
      <border>
        <left/>
        <right/>
        <top/>
        <bottom/>
        <vertical/>
        <horizontal/>
      </border>
    </dxf>
    <dxf>
      <font>
        <color theme="0"/>
      </font>
      <fill>
        <patternFill>
          <bgColor theme="0"/>
        </patternFill>
      </fill>
    </dxf>
    <dxf>
      <font>
        <color auto="1"/>
      </font>
      <fill>
        <patternFill>
          <bgColor rgb="FFFF4F4F"/>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499984740745262"/>
      </font>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theme="0" tint="-0.14996795556505021"/>
        </patternFill>
      </fill>
    </dxf>
    <dxf>
      <font>
        <b/>
        <i val="0"/>
        <color theme="0"/>
      </font>
      <fill>
        <patternFill>
          <bgColor rgb="FFFF5050"/>
        </patternFill>
      </fill>
    </dxf>
    <dxf>
      <font>
        <b/>
        <i val="0"/>
      </font>
      <fill>
        <patternFill>
          <bgColor theme="6" tint="0.39994506668294322"/>
        </patternFill>
      </fill>
    </dxf>
    <dxf>
      <fill>
        <patternFill>
          <bgColor theme="0" tint="-0.499984740745262"/>
        </patternFill>
      </fill>
    </dxf>
    <dxf>
      <fill>
        <patternFill patternType="lightUp">
          <bgColor theme="0" tint="-4.9989318521683403E-2"/>
        </patternFill>
      </fill>
    </dxf>
    <dxf>
      <font>
        <color theme="0" tint="-0.499984740745262"/>
      </font>
      <fill>
        <patternFill>
          <bgColor theme="0" tint="-0.499984740745262"/>
        </patternFill>
      </fill>
    </dxf>
    <dxf>
      <font>
        <color rgb="FFFF0000"/>
      </font>
    </dxf>
    <dxf>
      <fill>
        <patternFill>
          <bgColor theme="0" tint="-0.14996795556505021"/>
        </patternFill>
      </fill>
    </dxf>
    <dxf>
      <font>
        <color theme="0"/>
      </font>
      <fill>
        <patternFill patternType="lightUp">
          <bgColor theme="0" tint="-4.9989318521683403E-2"/>
        </patternFill>
      </fill>
    </dxf>
    <dxf>
      <fill>
        <patternFill>
          <bgColor rgb="FFFF7C80"/>
        </patternFill>
      </fill>
    </dxf>
    <dxf>
      <font>
        <color auto="1"/>
      </font>
      <fill>
        <patternFill patternType="none">
          <bgColor auto="1"/>
        </patternFill>
      </fill>
    </dxf>
  </dxfs>
  <tableStyles count="0" defaultTableStyle="TableStyleMedium2" defaultPivotStyle="PivotStyleLight16"/>
  <colors>
    <mruColors>
      <color rgb="FFFFFF99"/>
      <color rgb="FF416189"/>
      <color rgb="FFFF5050"/>
      <color rgb="FFBB6327"/>
      <color rgb="FFC86829"/>
      <color rgb="FF808080"/>
      <color rgb="FFFF7C80"/>
      <color rgb="FF969696"/>
      <color rgb="FFFF4F4F"/>
      <color rgb="FF679E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209549</xdr:colOff>
      <xdr:row>28</xdr:row>
      <xdr:rowOff>1</xdr:rowOff>
    </xdr:from>
    <xdr:to>
      <xdr:col>21</xdr:col>
      <xdr:colOff>2114550</xdr:colOff>
      <xdr:row>32</xdr:row>
      <xdr:rowOff>142875</xdr:rowOff>
    </xdr:to>
    <xdr:sp macro="" textlink="">
      <xdr:nvSpPr>
        <xdr:cNvPr id="2" name="TextBox 1"/>
        <xdr:cNvSpPr txBox="1"/>
      </xdr:nvSpPr>
      <xdr:spPr>
        <a:xfrm>
          <a:off x="9820274" y="5600701"/>
          <a:ext cx="4095751" cy="97154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Deposits not Derived from business activity includes loans, IRS tax refunds, rents, wage income, SSI/retirement income, etc.</a:t>
          </a:r>
        </a:p>
      </xdr:txBody>
    </xdr:sp>
    <xdr:clientData/>
  </xdr:twoCellAnchor>
  <xdr:twoCellAnchor>
    <xdr:from>
      <xdr:col>5</xdr:col>
      <xdr:colOff>1439</xdr:colOff>
      <xdr:row>0</xdr:row>
      <xdr:rowOff>61953</xdr:rowOff>
    </xdr:from>
    <xdr:to>
      <xdr:col>15</xdr:col>
      <xdr:colOff>314325</xdr:colOff>
      <xdr:row>0</xdr:row>
      <xdr:rowOff>1008528</xdr:rowOff>
    </xdr:to>
    <xdr:sp macro="" textlink="">
      <xdr:nvSpPr>
        <xdr:cNvPr id="3" name="TextBox 2"/>
        <xdr:cNvSpPr txBox="1"/>
      </xdr:nvSpPr>
      <xdr:spPr>
        <a:xfrm>
          <a:off x="3845057" y="61953"/>
          <a:ext cx="5422768" cy="9465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400" b="1" u="none" baseline="0"/>
            <a:t>  </a:t>
          </a:r>
          <a:endParaRPr lang="en-US" sz="400" b="1" u="none"/>
        </a:p>
        <a:p>
          <a:pPr algn="ctr"/>
          <a:r>
            <a:rPr lang="en-US" sz="1200" b="1" u="none"/>
            <a:t>Have questions, need help filing this form out or would</a:t>
          </a:r>
          <a:r>
            <a:rPr lang="en-US" sz="1200" b="1" u="none" baseline="0"/>
            <a:t> you like to submit an exception?</a:t>
          </a:r>
        </a:p>
        <a:p>
          <a:pPr algn="ctr"/>
          <a:r>
            <a:rPr lang="en-US" sz="200" b="1" u="none" baseline="0"/>
            <a:t>     </a:t>
          </a:r>
        </a:p>
        <a:p>
          <a:pPr algn="ctr"/>
          <a:r>
            <a:rPr lang="en-US" sz="1200" b="0" u="none" baseline="0"/>
            <a:t>Contact your Scenario Desk </a:t>
          </a:r>
          <a:endParaRPr lang="en-US" sz="1200" b="1" u="sng">
            <a:solidFill>
              <a:srgbClr val="0070C0"/>
            </a:solidFill>
          </a:endParaRPr>
        </a:p>
      </xdr:txBody>
    </xdr:sp>
    <xdr:clientData/>
  </xdr:twoCellAnchor>
  <xdr:twoCellAnchor>
    <xdr:from>
      <xdr:col>17</xdr:col>
      <xdr:colOff>156081</xdr:colOff>
      <xdr:row>75</xdr:row>
      <xdr:rowOff>30816</xdr:rowOff>
    </xdr:from>
    <xdr:to>
      <xdr:col>21</xdr:col>
      <xdr:colOff>1120587</xdr:colOff>
      <xdr:row>80</xdr:row>
      <xdr:rowOff>1</xdr:rowOff>
    </xdr:to>
    <xdr:sp macro="" textlink="">
      <xdr:nvSpPr>
        <xdr:cNvPr id="4" name="TextBox 3"/>
        <xdr:cNvSpPr txBox="1"/>
      </xdr:nvSpPr>
      <xdr:spPr>
        <a:xfrm>
          <a:off x="9905199" y="16593110"/>
          <a:ext cx="3160859" cy="130268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r>
            <a:rPr lang="en-US" sz="1100" b="1" u="sng" baseline="0"/>
            <a:t> for Option 2 Expenses:</a:t>
          </a:r>
          <a:endParaRPr lang="en-US" sz="1100" b="1" u="sng"/>
        </a:p>
        <a:p>
          <a:pPr algn="l"/>
          <a:endParaRPr lang="en-US" sz="1100"/>
        </a:p>
        <a:p>
          <a:pPr algn="l"/>
          <a:r>
            <a:rPr lang="en-US" sz="1100" u="sng"/>
            <a:t>Things not to include:</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a:t>- </a:t>
          </a:r>
          <a:r>
            <a:rPr lang="en-US" sz="1100">
              <a:solidFill>
                <a:schemeClr val="dk1"/>
              </a:solidFill>
              <a:effectLst/>
              <a:latin typeface="+mn-lt"/>
              <a:ea typeface="+mn-ea"/>
              <a:cs typeface="+mn-cs"/>
            </a:rPr>
            <a:t>wages paid to the borrower</a:t>
          </a:r>
          <a:endParaRPr lang="en-US">
            <a:effectLst/>
          </a:endParaRPr>
        </a:p>
        <a:p>
          <a:pPr algn="l"/>
          <a:r>
            <a:rPr lang="en-US" sz="1100"/>
            <a:t>- Depreciation, depletion, amortization, casualty losses, and other losses or expenses that are not consistent and recurring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802821</xdr:colOff>
      <xdr:row>0</xdr:row>
      <xdr:rowOff>61954</xdr:rowOff>
    </xdr:from>
    <xdr:to>
      <xdr:col>17</xdr:col>
      <xdr:colOff>314325</xdr:colOff>
      <xdr:row>0</xdr:row>
      <xdr:rowOff>848446</xdr:rowOff>
    </xdr:to>
    <xdr:sp macro="" textlink="">
      <xdr:nvSpPr>
        <xdr:cNvPr id="2" name="TextBox 1"/>
        <xdr:cNvSpPr txBox="1"/>
      </xdr:nvSpPr>
      <xdr:spPr>
        <a:xfrm>
          <a:off x="4966607" y="61954"/>
          <a:ext cx="6015718" cy="78649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400" b="1" u="none" baseline="0"/>
            <a:t>  </a:t>
          </a:r>
          <a:endParaRPr lang="en-US" sz="400" b="1" u="none"/>
        </a:p>
        <a:p>
          <a:pPr algn="ctr"/>
          <a:r>
            <a:rPr lang="en-US" sz="1200" b="1" u="none"/>
            <a:t>Have questions, need help filing this form out or would</a:t>
          </a:r>
          <a:r>
            <a:rPr lang="en-US" sz="1200" b="1" u="none" baseline="0"/>
            <a:t> you like to submit an exception?</a:t>
          </a:r>
        </a:p>
        <a:p>
          <a:pPr algn="ctr"/>
          <a:r>
            <a:rPr lang="en-US" sz="200" b="1" u="none" baseline="0"/>
            <a:t>     </a:t>
          </a:r>
        </a:p>
        <a:p>
          <a:pPr algn="ctr"/>
          <a:r>
            <a:rPr lang="en-US" sz="1200" b="0" u="none" baseline="0"/>
            <a:t>Contact your Scenario Desk </a:t>
          </a:r>
          <a:endParaRPr lang="en-US" sz="1200" b="1" u="sng">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219075</xdr:colOff>
      <xdr:row>8</xdr:row>
      <xdr:rowOff>57150</xdr:rowOff>
    </xdr:from>
    <xdr:to>
      <xdr:col>10</xdr:col>
      <xdr:colOff>1200150</xdr:colOff>
      <xdr:row>13</xdr:row>
      <xdr:rowOff>0</xdr:rowOff>
    </xdr:to>
    <xdr:sp macro="" textlink="">
      <xdr:nvSpPr>
        <xdr:cNvPr id="2" name="TextBox 1"/>
        <xdr:cNvSpPr txBox="1"/>
      </xdr:nvSpPr>
      <xdr:spPr>
        <a:xfrm>
          <a:off x="6781800" y="2152650"/>
          <a:ext cx="3095625" cy="1200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p>
        <a:p>
          <a:pPr algn="ctr"/>
          <a:r>
            <a:rPr lang="en-US" sz="1100"/>
            <a:t>Depreciation, depletion, amortization, casualty losses, and other losses or expenses that are not consistent and recurring should not be included in the expenses listed above. Also, do not include wages paid to the borrower.</a:t>
          </a:r>
        </a:p>
      </xdr:txBody>
    </xdr:sp>
    <xdr:clientData/>
  </xdr:twoCellAnchor>
  <xdr:twoCellAnchor>
    <xdr:from>
      <xdr:col>9</xdr:col>
      <xdr:colOff>219076</xdr:colOff>
      <xdr:row>32</xdr:row>
      <xdr:rowOff>0</xdr:rowOff>
    </xdr:from>
    <xdr:to>
      <xdr:col>10</xdr:col>
      <xdr:colOff>1209676</xdr:colOff>
      <xdr:row>38</xdr:row>
      <xdr:rowOff>174625</xdr:rowOff>
    </xdr:to>
    <xdr:sp macro="" textlink="">
      <xdr:nvSpPr>
        <xdr:cNvPr id="3" name="TextBox 2"/>
        <xdr:cNvSpPr txBox="1"/>
      </xdr:nvSpPr>
      <xdr:spPr>
        <a:xfrm>
          <a:off x="6781801" y="7105650"/>
          <a:ext cx="3105150" cy="1784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The business' expense ratio should be reasonable for the profession.</a:t>
          </a:r>
        </a:p>
        <a:p>
          <a:pPr algn="ctr"/>
          <a:endParaRPr lang="en-US" sz="1100"/>
        </a:p>
        <a:p>
          <a:pPr algn="ctr"/>
          <a:r>
            <a:rPr lang="en-US" sz="1100"/>
            <a:t>Example: A home-based sole practitioner therapist/consultant can be expected to have a low expense ratio, while a retail business that has a full staff of employees and relies heavily on inventory to generate income will have a high expense ratio.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829235</xdr:colOff>
      <xdr:row>0</xdr:row>
      <xdr:rowOff>78442</xdr:rowOff>
    </xdr:from>
    <xdr:to>
      <xdr:col>9</xdr:col>
      <xdr:colOff>840441</xdr:colOff>
      <xdr:row>0</xdr:row>
      <xdr:rowOff>930089</xdr:rowOff>
    </xdr:to>
    <xdr:sp macro="" textlink="">
      <xdr:nvSpPr>
        <xdr:cNvPr id="2" name="TextBox 1">
          <a:extLst>
            <a:ext uri="{FF2B5EF4-FFF2-40B4-BE49-F238E27FC236}">
              <a16:creationId xmlns="" xmlns:a16="http://schemas.microsoft.com/office/drawing/2014/main" id="{00000000-0008-0000-0000-000003000000}"/>
            </a:ext>
          </a:extLst>
        </xdr:cNvPr>
        <xdr:cNvSpPr txBox="1"/>
      </xdr:nvSpPr>
      <xdr:spPr>
        <a:xfrm>
          <a:off x="4303059" y="78442"/>
          <a:ext cx="5950323" cy="85164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300" b="1" u="none"/>
            <a:t>   </a:t>
          </a:r>
        </a:p>
        <a:p>
          <a:pPr algn="ctr"/>
          <a:r>
            <a:rPr lang="en-US" sz="1200" b="1" u="none"/>
            <a:t>Have questions, need help filing this form out or would</a:t>
          </a:r>
          <a:r>
            <a:rPr lang="en-US" sz="1200" b="1" u="none" baseline="0"/>
            <a:t> you like to submit an exception?</a:t>
          </a:r>
        </a:p>
        <a:p>
          <a:pPr algn="ctr"/>
          <a:r>
            <a:rPr lang="en-US" sz="500" b="1" u="none" baseline="0"/>
            <a:t>   </a:t>
          </a:r>
        </a:p>
        <a:p>
          <a:pPr algn="ctr"/>
          <a:r>
            <a:rPr lang="en-US" sz="1200" b="0" u="none" baseline="0"/>
            <a:t>Contact your Scenario Desk</a:t>
          </a:r>
          <a:endParaRPr lang="en-US" sz="1200" b="1" u="sng">
            <a:solidFill>
              <a:srgbClr val="0070C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123"/>
  <sheetViews>
    <sheetView showGridLines="0" zoomScale="85" zoomScaleNormal="85" workbookViewId="0">
      <selection activeCell="U8" sqref="U8"/>
    </sheetView>
  </sheetViews>
  <sheetFormatPr defaultColWidth="8.85546875" defaultRowHeight="15" x14ac:dyDescent="0.25"/>
  <cols>
    <col min="1" max="1" width="2.5703125" style="2" customWidth="1"/>
    <col min="2" max="2" width="3.85546875" style="2" customWidth="1"/>
    <col min="3" max="3" width="27.85546875" style="84" customWidth="1"/>
    <col min="4" max="4" width="17" style="84" customWidth="1"/>
    <col min="5" max="5" width="6.42578125" style="84" customWidth="1"/>
    <col min="6" max="6" width="1.5703125" style="2" customWidth="1"/>
    <col min="7" max="8" width="6.42578125" style="2" customWidth="1"/>
    <col min="9" max="11" width="2.28515625" style="2" customWidth="1"/>
    <col min="12" max="12" width="36.42578125" style="2" customWidth="1"/>
    <col min="13" max="13" width="1.7109375" style="2" customWidth="1"/>
    <col min="14" max="14" width="9.140625" style="2" customWidth="1"/>
    <col min="15" max="16" width="8" style="2" customWidth="1"/>
    <col min="17" max="17" width="3.85546875" style="2" customWidth="1"/>
    <col min="18" max="18" width="17" style="2" customWidth="1"/>
    <col min="19" max="19" width="4.28515625" style="2" customWidth="1"/>
    <col min="20" max="20" width="2.28515625" style="2" customWidth="1"/>
    <col min="21" max="21" width="9.28515625" style="2" customWidth="1"/>
    <col min="22" max="22" width="27.7109375" style="2" customWidth="1"/>
    <col min="23" max="23" width="5" style="2" customWidth="1"/>
    <col min="24" max="24" width="10.7109375" style="2" bestFit="1" customWidth="1"/>
    <col min="25" max="42" width="8.85546875" style="2"/>
    <col min="43" max="43" width="0" style="2" hidden="1" customWidth="1"/>
    <col min="44" max="16384" width="8.85546875" style="2"/>
  </cols>
  <sheetData>
    <row r="1" spans="2:31" ht="82.5" customHeight="1" thickBot="1" x14ac:dyDescent="0.3">
      <c r="B1" s="566" t="s">
        <v>89</v>
      </c>
      <c r="C1" s="567"/>
      <c r="D1" s="567"/>
      <c r="E1" s="567"/>
      <c r="F1" s="567"/>
      <c r="G1" s="567"/>
      <c r="H1" s="183"/>
      <c r="I1" s="183"/>
      <c r="J1" s="183"/>
      <c r="K1" s="183"/>
      <c r="V1" s="1"/>
    </row>
    <row r="2" spans="2:31" ht="24.75" customHeight="1" thickBot="1" x14ac:dyDescent="0.35">
      <c r="B2" s="508" t="s">
        <v>24</v>
      </c>
      <c r="C2" s="568"/>
      <c r="D2" s="568"/>
      <c r="E2" s="568"/>
      <c r="F2" s="568"/>
      <c r="G2" s="568"/>
      <c r="H2" s="568"/>
      <c r="I2" s="568"/>
      <c r="J2" s="568"/>
      <c r="K2" s="568"/>
      <c r="L2" s="568"/>
      <c r="M2" s="568"/>
      <c r="N2" s="568"/>
      <c r="O2" s="568"/>
      <c r="P2" s="568"/>
      <c r="Q2" s="569"/>
      <c r="R2" s="54"/>
      <c r="S2" s="55"/>
      <c r="T2" s="55"/>
      <c r="U2" s="56"/>
      <c r="V2" s="1"/>
      <c r="W2" s="67"/>
    </row>
    <row r="3" spans="2:31" ht="6.6" customHeight="1" x14ac:dyDescent="0.25">
      <c r="B3" s="228"/>
      <c r="C3" s="229"/>
      <c r="D3" s="229"/>
      <c r="E3" s="230"/>
      <c r="F3" s="8"/>
      <c r="G3" s="8"/>
      <c r="H3" s="8"/>
      <c r="I3" s="8"/>
      <c r="J3" s="8"/>
      <c r="K3" s="8"/>
      <c r="L3" s="8"/>
      <c r="M3" s="8"/>
      <c r="N3" s="8"/>
      <c r="O3" s="8"/>
      <c r="P3" s="8"/>
      <c r="Q3" s="231"/>
      <c r="R3" s="1"/>
      <c r="S3" s="10"/>
      <c r="T3" s="10"/>
      <c r="U3" s="10"/>
      <c r="V3" s="1"/>
      <c r="W3" s="1"/>
    </row>
    <row r="4" spans="2:31" s="164" customFormat="1" ht="15" customHeight="1" x14ac:dyDescent="0.25">
      <c r="B4" s="570" t="s">
        <v>74</v>
      </c>
      <c r="C4" s="571"/>
      <c r="D4" s="541"/>
      <c r="E4" s="513"/>
      <c r="F4" s="513"/>
      <c r="G4" s="513"/>
      <c r="H4" s="157"/>
      <c r="I4" s="157"/>
      <c r="J4" s="575" t="s">
        <v>75</v>
      </c>
      <c r="K4" s="575"/>
      <c r="L4" s="576"/>
      <c r="M4" s="511"/>
      <c r="N4" s="512"/>
      <c r="O4" s="512"/>
      <c r="P4" s="513"/>
      <c r="Q4" s="163"/>
      <c r="R4" s="157"/>
      <c r="S4" s="90"/>
      <c r="T4" s="90"/>
      <c r="U4" s="90"/>
      <c r="V4" s="157"/>
      <c r="W4" s="157"/>
    </row>
    <row r="5" spans="2:31" s="79" customFormat="1" ht="6" customHeight="1" x14ac:dyDescent="0.25">
      <c r="B5" s="158"/>
      <c r="C5" s="342"/>
      <c r="D5" s="213"/>
      <c r="E5" s="157"/>
      <c r="F5" s="157"/>
      <c r="G5" s="157"/>
      <c r="H5" s="157"/>
      <c r="I5" s="157"/>
      <c r="J5" s="157"/>
      <c r="K5" s="157"/>
      <c r="L5" s="157"/>
      <c r="M5" s="169"/>
      <c r="N5" s="169"/>
      <c r="O5" s="169"/>
      <c r="P5" s="169"/>
      <c r="Q5" s="83"/>
      <c r="R5" s="49"/>
      <c r="S5" s="90"/>
      <c r="T5" s="90"/>
      <c r="U5" s="90"/>
      <c r="V5" s="49"/>
      <c r="W5" s="49"/>
    </row>
    <row r="6" spans="2:31" s="164" customFormat="1" ht="15.75" x14ac:dyDescent="0.25">
      <c r="B6" s="551" t="s">
        <v>159</v>
      </c>
      <c r="C6" s="552"/>
      <c r="D6" s="577"/>
      <c r="E6" s="578"/>
      <c r="F6" s="578"/>
      <c r="G6" s="579"/>
      <c r="H6" s="169"/>
      <c r="I6" s="210"/>
      <c r="J6" s="553" t="s">
        <v>77</v>
      </c>
      <c r="K6" s="553"/>
      <c r="L6" s="553"/>
      <c r="M6" s="548"/>
      <c r="N6" s="549"/>
      <c r="O6" s="549"/>
      <c r="P6" s="550"/>
      <c r="Q6" s="163"/>
      <c r="W6" s="157"/>
    </row>
    <row r="7" spans="2:31" s="79" customFormat="1" ht="6.75" customHeight="1" x14ac:dyDescent="0.25">
      <c r="B7" s="551"/>
      <c r="C7" s="552"/>
      <c r="D7" s="317"/>
      <c r="E7" s="318"/>
      <c r="F7" s="157"/>
      <c r="G7" s="160"/>
      <c r="H7" s="160"/>
      <c r="I7" s="160"/>
      <c r="J7" s="160"/>
      <c r="K7" s="160"/>
      <c r="L7" s="289"/>
      <c r="M7" s="160"/>
      <c r="N7" s="160"/>
      <c r="O7" s="160"/>
      <c r="P7" s="160"/>
      <c r="Q7" s="83"/>
      <c r="R7" s="49"/>
      <c r="S7" s="90"/>
      <c r="W7" s="49"/>
    </row>
    <row r="8" spans="2:31" s="166" customFormat="1" ht="29.25" customHeight="1" x14ac:dyDescent="0.25">
      <c r="B8" s="546" t="s">
        <v>109</v>
      </c>
      <c r="C8" s="547"/>
      <c r="D8" s="577"/>
      <c r="E8" s="578"/>
      <c r="F8" s="578"/>
      <c r="G8" s="579"/>
      <c r="H8" s="213"/>
      <c r="I8" s="214"/>
      <c r="J8" s="553" t="s">
        <v>78</v>
      </c>
      <c r="K8" s="553"/>
      <c r="L8" s="554"/>
      <c r="M8" s="572"/>
      <c r="N8" s="573"/>
      <c r="O8" s="573"/>
      <c r="P8" s="574"/>
      <c r="Q8" s="165"/>
      <c r="W8" s="157"/>
      <c r="X8" s="164"/>
      <c r="Y8" s="164"/>
      <c r="Z8" s="164"/>
      <c r="AA8" s="164"/>
      <c r="AB8" s="164"/>
      <c r="AC8" s="164"/>
      <c r="AD8" s="164"/>
      <c r="AE8" s="164"/>
    </row>
    <row r="9" spans="2:31" s="93" customFormat="1" ht="7.5" customHeight="1" x14ac:dyDescent="0.25">
      <c r="B9" s="258"/>
      <c r="C9" s="255"/>
      <c r="D9" s="319"/>
      <c r="E9" s="320"/>
      <c r="F9" s="320"/>
      <c r="G9" s="161"/>
      <c r="H9" s="161"/>
      <c r="I9" s="161"/>
      <c r="J9" s="161"/>
      <c r="K9" s="161"/>
      <c r="L9" s="161"/>
      <c r="M9" s="161"/>
      <c r="N9" s="161"/>
      <c r="O9" s="161"/>
      <c r="P9" s="161"/>
      <c r="Q9" s="92"/>
      <c r="R9" s="151"/>
      <c r="S9" s="151"/>
      <c r="T9" s="151"/>
      <c r="U9" s="151"/>
      <c r="V9" s="151"/>
      <c r="W9" s="49"/>
      <c r="X9" s="79"/>
      <c r="Y9" s="79"/>
      <c r="Z9" s="79"/>
      <c r="AA9" s="79"/>
      <c r="AB9" s="79"/>
      <c r="AC9" s="79"/>
      <c r="AD9" s="79"/>
      <c r="AE9" s="79"/>
    </row>
    <row r="10" spans="2:31" s="93" customFormat="1" ht="17.25" customHeight="1" x14ac:dyDescent="0.25">
      <c r="B10" s="586" t="s">
        <v>76</v>
      </c>
      <c r="C10" s="587"/>
      <c r="D10" s="556"/>
      <c r="E10" s="557"/>
      <c r="F10" s="557"/>
      <c r="G10" s="558"/>
      <c r="H10" s="213"/>
      <c r="I10" s="214"/>
      <c r="J10" s="555" t="s">
        <v>129</v>
      </c>
      <c r="K10" s="555"/>
      <c r="L10" s="555"/>
      <c r="M10" s="572"/>
      <c r="N10" s="573"/>
      <c r="O10" s="573"/>
      <c r="P10" s="574"/>
      <c r="Q10" s="92"/>
      <c r="R10" s="151"/>
      <c r="S10" s="151"/>
      <c r="T10" s="151"/>
      <c r="U10" s="151"/>
      <c r="V10" s="151"/>
      <c r="W10" s="49"/>
      <c r="X10" s="79"/>
      <c r="Y10" s="79"/>
      <c r="Z10" s="79"/>
      <c r="AA10" s="79"/>
      <c r="AB10" s="79"/>
      <c r="AC10" s="79"/>
      <c r="AD10" s="79"/>
      <c r="AE10" s="79"/>
    </row>
    <row r="11" spans="2:31" s="93" customFormat="1" ht="28.5" customHeight="1" x14ac:dyDescent="0.25">
      <c r="B11" s="586"/>
      <c r="C11" s="587"/>
      <c r="D11" s="580" t="str">
        <f>IF(AND(Ownership&gt;0,D10&lt;0.5),"Borrowers must be 50-100% business owners. Please contact Scenario Desk.", "")</f>
        <v/>
      </c>
      <c r="E11" s="580"/>
      <c r="F11" s="580"/>
      <c r="G11" s="580"/>
      <c r="H11" s="580"/>
      <c r="I11" s="161"/>
      <c r="J11" s="555"/>
      <c r="K11" s="555"/>
      <c r="L11" s="555"/>
      <c r="M11" s="161"/>
      <c r="N11" s="564" t="str">
        <f>IF(BT="Personal","Please note that you must provide 2 mo of business bank statements","")</f>
        <v/>
      </c>
      <c r="O11" s="564"/>
      <c r="P11" s="564"/>
      <c r="Q11" s="565"/>
      <c r="R11" s="151"/>
      <c r="S11" s="151"/>
      <c r="T11" s="151"/>
      <c r="U11" s="151"/>
      <c r="V11" s="151"/>
      <c r="W11" s="49"/>
      <c r="X11" s="79"/>
      <c r="Y11" s="79"/>
      <c r="Z11" s="79"/>
      <c r="AA11" s="79"/>
      <c r="AB11" s="79"/>
      <c r="AC11" s="79"/>
      <c r="AD11" s="79"/>
      <c r="AE11" s="79"/>
    </row>
    <row r="12" spans="2:31" s="166" customFormat="1" ht="15" customHeight="1" x14ac:dyDescent="0.25">
      <c r="B12" s="581" t="s">
        <v>79</v>
      </c>
      <c r="C12" s="582"/>
      <c r="D12" s="582"/>
      <c r="E12" s="582"/>
      <c r="F12" s="582"/>
      <c r="G12" s="582"/>
      <c r="H12" s="582"/>
      <c r="I12" s="582"/>
      <c r="J12" s="541"/>
      <c r="K12" s="541"/>
      <c r="L12" s="541"/>
      <c r="M12" s="159"/>
      <c r="N12" s="564"/>
      <c r="O12" s="564"/>
      <c r="P12" s="564"/>
      <c r="Q12" s="565"/>
      <c r="R12" s="167"/>
      <c r="S12" s="167"/>
      <c r="T12" s="167"/>
      <c r="U12" s="167"/>
      <c r="V12" s="167"/>
      <c r="W12" s="157"/>
      <c r="X12" s="164"/>
      <c r="Y12" s="164"/>
      <c r="Z12" s="164"/>
      <c r="AA12" s="164"/>
      <c r="AB12" s="164"/>
      <c r="AC12" s="164"/>
      <c r="AD12" s="164"/>
      <c r="AE12" s="164"/>
    </row>
    <row r="13" spans="2:31" s="79" customFormat="1" ht="12" customHeight="1" x14ac:dyDescent="0.25">
      <c r="B13" s="583" t="s">
        <v>80</v>
      </c>
      <c r="C13" s="584"/>
      <c r="D13" s="341"/>
      <c r="E13" s="157"/>
      <c r="F13" s="157"/>
      <c r="G13" s="157"/>
      <c r="H13" s="157"/>
      <c r="I13" s="157"/>
      <c r="J13" s="157"/>
      <c r="K13" s="157"/>
      <c r="L13" s="157"/>
      <c r="M13" s="543" t="str">
        <f>IF(OR(J14="No", J16 = "Yes"), "Since your borrower combines their business banking with their personal banking, you must *qualify* under Business BS (regardless if the acct is in an indiv's name) 
Contact SGCP Scenario Desk for questions!", "")</f>
        <v/>
      </c>
      <c r="N13" s="543"/>
      <c r="O13" s="543"/>
      <c r="P13" s="543"/>
      <c r="Q13" s="559"/>
      <c r="R13" s="49"/>
      <c r="S13" s="90"/>
      <c r="T13" s="90"/>
      <c r="U13" s="90"/>
      <c r="V13" s="49"/>
      <c r="W13" s="49"/>
    </row>
    <row r="14" spans="2:31" s="79" customFormat="1" ht="18" customHeight="1" x14ac:dyDescent="0.25">
      <c r="B14" s="162"/>
      <c r="C14" s="585" t="s">
        <v>82</v>
      </c>
      <c r="D14" s="585"/>
      <c r="E14" s="585"/>
      <c r="F14" s="585"/>
      <c r="G14" s="585"/>
      <c r="H14" s="585"/>
      <c r="I14" s="585"/>
      <c r="J14" s="541"/>
      <c r="K14" s="541"/>
      <c r="L14" s="541"/>
      <c r="M14" s="543"/>
      <c r="N14" s="543"/>
      <c r="O14" s="543"/>
      <c r="P14" s="543"/>
      <c r="Q14" s="559"/>
      <c r="W14" s="49"/>
    </row>
    <row r="15" spans="2:31" s="79" customFormat="1" ht="11.25" customHeight="1" x14ac:dyDescent="0.25">
      <c r="B15" s="162"/>
      <c r="C15" s="585"/>
      <c r="D15" s="585"/>
      <c r="E15" s="585"/>
      <c r="F15" s="585"/>
      <c r="G15" s="585"/>
      <c r="H15" s="585"/>
      <c r="I15" s="585"/>
      <c r="J15" s="226"/>
      <c r="K15" s="226"/>
      <c r="L15" s="215"/>
      <c r="M15" s="543"/>
      <c r="N15" s="543"/>
      <c r="O15" s="543"/>
      <c r="P15" s="543"/>
      <c r="Q15" s="559"/>
      <c r="W15" s="49"/>
    </row>
    <row r="16" spans="2:31" s="79" customFormat="1" ht="15.75" customHeight="1" x14ac:dyDescent="0.25">
      <c r="B16" s="162"/>
      <c r="C16" s="585" t="s">
        <v>81</v>
      </c>
      <c r="D16" s="585"/>
      <c r="E16" s="585"/>
      <c r="F16" s="585"/>
      <c r="G16" s="585"/>
      <c r="H16" s="585"/>
      <c r="I16" s="585"/>
      <c r="J16" s="541"/>
      <c r="K16" s="541"/>
      <c r="L16" s="541"/>
      <c r="M16" s="543"/>
      <c r="N16" s="543"/>
      <c r="O16" s="543"/>
      <c r="P16" s="543"/>
      <c r="Q16" s="559"/>
      <c r="W16" s="49"/>
    </row>
    <row r="17" spans="2:24" s="79" customFormat="1" ht="6.75" customHeight="1" x14ac:dyDescent="0.25">
      <c r="B17" s="162"/>
      <c r="C17" s="157"/>
      <c r="D17" s="157"/>
      <c r="E17" s="157"/>
      <c r="F17" s="157"/>
      <c r="G17" s="157"/>
      <c r="H17" s="157"/>
      <c r="I17" s="157"/>
      <c r="J17" s="157"/>
      <c r="K17" s="157"/>
      <c r="L17" s="157"/>
      <c r="M17" s="543"/>
      <c r="N17" s="543"/>
      <c r="O17" s="543"/>
      <c r="P17" s="543"/>
      <c r="Q17" s="559"/>
      <c r="V17" s="49"/>
      <c r="W17" s="49"/>
    </row>
    <row r="18" spans="2:24" ht="8.4499999999999993" customHeight="1" thickBot="1" x14ac:dyDescent="0.3">
      <c r="B18" s="18"/>
      <c r="C18" s="86"/>
      <c r="D18" s="86"/>
      <c r="E18" s="86"/>
      <c r="F18" s="24"/>
      <c r="G18" s="24"/>
      <c r="H18" s="24"/>
      <c r="I18" s="24"/>
      <c r="J18" s="24"/>
      <c r="K18" s="24"/>
      <c r="L18" s="24"/>
      <c r="M18" s="24"/>
      <c r="N18" s="24"/>
      <c r="O18" s="24"/>
      <c r="P18" s="24"/>
      <c r="Q18" s="19"/>
      <c r="R18" s="1"/>
      <c r="S18" s="6"/>
      <c r="T18" s="6"/>
      <c r="U18" s="6"/>
      <c r="V18" s="1"/>
      <c r="W18" s="1"/>
    </row>
    <row r="19" spans="2:24" ht="24" thickBot="1" x14ac:dyDescent="0.4">
      <c r="B19" s="508" t="s">
        <v>85</v>
      </c>
      <c r="C19" s="568"/>
      <c r="D19" s="568"/>
      <c r="E19" s="568"/>
      <c r="F19" s="568"/>
      <c r="G19" s="568"/>
      <c r="H19" s="568"/>
      <c r="I19" s="568"/>
      <c r="J19" s="568"/>
      <c r="K19" s="568"/>
      <c r="L19" s="568"/>
      <c r="M19" s="568"/>
      <c r="N19" s="568"/>
      <c r="O19" s="568"/>
      <c r="P19" s="568"/>
      <c r="Q19" s="569"/>
      <c r="R19" s="48"/>
      <c r="S19" s="48"/>
      <c r="T19" s="48"/>
      <c r="U19" s="48"/>
      <c r="V19" s="1"/>
      <c r="W19" s="1"/>
      <c r="X19" s="26"/>
    </row>
    <row r="20" spans="2:24" ht="10.5" customHeight="1" x14ac:dyDescent="0.35">
      <c r="B20" s="137"/>
      <c r="C20" s="108"/>
      <c r="D20" s="108"/>
      <c r="E20" s="108"/>
      <c r="F20" s="108"/>
      <c r="G20" s="108"/>
      <c r="H20" s="108"/>
      <c r="I20" s="108"/>
      <c r="J20" s="108"/>
      <c r="K20" s="108"/>
      <c r="L20" s="108"/>
      <c r="M20" s="108"/>
      <c r="N20" s="108"/>
      <c r="O20" s="108"/>
      <c r="P20" s="108"/>
      <c r="Q20" s="138"/>
      <c r="R20" s="48"/>
      <c r="S20" s="48"/>
      <c r="T20" s="48"/>
      <c r="U20" s="48"/>
      <c r="V20" s="1"/>
      <c r="W20" s="1"/>
      <c r="X20" s="26"/>
    </row>
    <row r="21" spans="2:24" ht="27.75" customHeight="1" x14ac:dyDescent="0.25">
      <c r="B21" s="538" t="s">
        <v>45</v>
      </c>
      <c r="C21" s="539"/>
      <c r="D21" s="396" t="str">
        <f>IF(AND(PorB="Yes",Seperatebooks="No",ISBLANK(BusExpinPer)),"Business",IF(AND(PorB="No",ISBLANK(Seperatebooks),ISBLANK(BusExpinPer)),"Business",IF(OR(ISBLANK(PorB),ISBLANK(Seperatebooks),ISBLANK(BusExpinPer)),"Please fill out Step 1 entirely",IF(AND(J12="Yes",J14="Yes",J16="No"),"Personal","Business"))))</f>
        <v>Please fill out Step 1 entirely</v>
      </c>
      <c r="E21" s="397"/>
      <c r="F21" s="397"/>
      <c r="G21" s="398"/>
      <c r="H21" s="53"/>
      <c r="I21" s="540" t="s">
        <v>41</v>
      </c>
      <c r="J21" s="540"/>
      <c r="K21" s="540"/>
      <c r="L21" s="540"/>
      <c r="M21" s="170"/>
      <c r="N21" s="541"/>
      <c r="O21" s="541"/>
      <c r="P21" s="541"/>
      <c r="Q21" s="139"/>
      <c r="R21" s="544" t="str">
        <f>IF(N21="Yes","Please provide conclusive evidence that the source of transfer is business related income.","")</f>
        <v/>
      </c>
      <c r="S21" s="544"/>
      <c r="T21" s="544"/>
      <c r="U21" s="544"/>
      <c r="V21" s="544"/>
      <c r="W21" s="1"/>
      <c r="X21" s="26"/>
    </row>
    <row r="22" spans="2:24" ht="4.5" customHeight="1" x14ac:dyDescent="0.25">
      <c r="B22" s="106"/>
      <c r="C22" s="114"/>
      <c r="D22" s="114"/>
      <c r="E22" s="114"/>
      <c r="F22" s="114"/>
      <c r="G22" s="114"/>
      <c r="H22" s="114"/>
      <c r="I22" s="114"/>
      <c r="J22" s="114"/>
      <c r="K22" s="114"/>
      <c r="L22" s="160"/>
      <c r="M22" s="114"/>
      <c r="N22" s="114"/>
      <c r="O22" s="114"/>
      <c r="P22" s="114"/>
      <c r="Q22" s="107"/>
      <c r="R22" s="273"/>
      <c r="S22" s="273"/>
      <c r="T22" s="273"/>
      <c r="U22" s="273"/>
      <c r="V22" s="274"/>
      <c r="W22" s="1"/>
      <c r="X22" s="26"/>
    </row>
    <row r="23" spans="2:24" ht="26.25" customHeight="1" x14ac:dyDescent="0.25">
      <c r="B23" s="538" t="s">
        <v>63</v>
      </c>
      <c r="C23" s="539"/>
      <c r="D23" s="399" t="str">
        <f>IF(BT="Please fill out all parts of question 5","",IF(COUNTA(D32:E43)+COUNTA(D50:E61)&lt;12,"Please enter at least 12 months of deposits",COUNTA(D32:E43)+COUNTA(D50:E61)))</f>
        <v>Please enter at least 12 months of deposits</v>
      </c>
      <c r="E23" s="400"/>
      <c r="F23" s="400"/>
      <c r="G23" s="401"/>
      <c r="H23" s="1"/>
      <c r="I23" s="540" t="s">
        <v>83</v>
      </c>
      <c r="J23" s="540"/>
      <c r="K23" s="540"/>
      <c r="L23" s="540"/>
      <c r="M23" s="171"/>
      <c r="N23" s="541"/>
      <c r="O23" s="541"/>
      <c r="P23" s="541"/>
      <c r="Q23" s="107"/>
      <c r="R23" s="545" t="str">
        <f>IF(N23="Yes","An LOE from the borrower is required to evaluate that NSFs and overdrafts are not due to financial mishandling and/or indicative of insufficient income.","")</f>
        <v/>
      </c>
      <c r="S23" s="543"/>
      <c r="T23" s="543"/>
      <c r="U23" s="543"/>
      <c r="V23" s="543"/>
      <c r="W23" s="543"/>
      <c r="X23" s="26"/>
    </row>
    <row r="24" spans="2:24" ht="6" customHeight="1" x14ac:dyDescent="0.25">
      <c r="B24" s="106"/>
      <c r="C24" s="114"/>
      <c r="D24" s="114"/>
      <c r="E24" s="114"/>
      <c r="F24" s="114"/>
      <c r="G24" s="114"/>
      <c r="H24" s="114"/>
      <c r="I24" s="114"/>
      <c r="J24" s="114"/>
      <c r="K24" s="114"/>
      <c r="L24" s="180"/>
      <c r="M24" s="171"/>
      <c r="N24" s="321"/>
      <c r="O24" s="321"/>
      <c r="P24" s="321"/>
      <c r="Q24" s="107"/>
      <c r="R24" s="273"/>
      <c r="S24" s="273"/>
      <c r="T24" s="273"/>
      <c r="U24" s="273"/>
      <c r="V24" s="275"/>
      <c r="W24" s="1"/>
      <c r="X24" s="26"/>
    </row>
    <row r="25" spans="2:24" ht="27.75" customHeight="1" x14ac:dyDescent="0.25">
      <c r="B25" s="538" t="s">
        <v>64</v>
      </c>
      <c r="C25" s="539"/>
      <c r="D25" s="402"/>
      <c r="E25" s="403"/>
      <c r="F25" s="403"/>
      <c r="G25" s="404"/>
      <c r="H25" s="1"/>
      <c r="I25" s="540" t="s">
        <v>38</v>
      </c>
      <c r="J25" s="540"/>
      <c r="K25" s="540"/>
      <c r="L25" s="540"/>
      <c r="M25" s="181"/>
      <c r="N25" s="542"/>
      <c r="O25" s="542"/>
      <c r="P25" s="542"/>
      <c r="Q25" s="107"/>
      <c r="R25" s="543" t="str">
        <f>IF(N25="Yes","Sourcing for large deposits not required if a sufficient borrower LOE is provided. Does not need to be addressed individually if consistent with the business.","")</f>
        <v/>
      </c>
      <c r="S25" s="543"/>
      <c r="T25" s="543"/>
      <c r="U25" s="543"/>
      <c r="V25" s="543"/>
      <c r="W25" s="1"/>
      <c r="X25" s="26"/>
    </row>
    <row r="26" spans="2:24" ht="6" customHeight="1" x14ac:dyDescent="0.25">
      <c r="B26" s="106"/>
      <c r="C26" s="150"/>
      <c r="D26" s="150"/>
      <c r="E26" s="150"/>
      <c r="F26" s="132"/>
      <c r="G26" s="176"/>
      <c r="H26" s="176"/>
      <c r="I26" s="176"/>
      <c r="J26" s="176"/>
      <c r="K26" s="176"/>
      <c r="L26" s="1"/>
      <c r="M26" s="1"/>
      <c r="N26" s="1"/>
      <c r="O26" s="1"/>
      <c r="P26" s="1"/>
      <c r="Q26" s="107"/>
      <c r="R26" s="543"/>
      <c r="S26" s="543"/>
      <c r="T26" s="543"/>
      <c r="U26" s="543"/>
      <c r="V26" s="543"/>
      <c r="W26" s="1"/>
      <c r="X26" s="26"/>
    </row>
    <row r="27" spans="2:24" ht="17.25" customHeight="1" x14ac:dyDescent="0.35">
      <c r="B27" s="106"/>
      <c r="C27" s="150"/>
      <c r="D27" s="150"/>
      <c r="E27" s="150"/>
      <c r="F27" s="132"/>
      <c r="G27" s="533"/>
      <c r="H27" s="533"/>
      <c r="I27" s="533"/>
      <c r="J27" s="533"/>
      <c r="K27" s="533"/>
      <c r="L27" s="533"/>
      <c r="M27" s="168"/>
      <c r="N27" s="168"/>
      <c r="O27" s="168"/>
      <c r="P27" s="168"/>
      <c r="Q27" s="107"/>
      <c r="R27" s="48"/>
      <c r="S27" s="48"/>
      <c r="T27" s="48"/>
      <c r="U27" s="48"/>
      <c r="W27" s="1"/>
      <c r="X27" s="26"/>
    </row>
    <row r="28" spans="2:24" ht="15.75" customHeight="1" thickBot="1" x14ac:dyDescent="0.4">
      <c r="B28" s="9"/>
      <c r="C28" s="534" t="str">
        <f>IF(D25="","YOU MUST ENTER THE DATE OF THE MOST RECENT BANK STATEMENT ABOVE (#5) TO CONTINUE WITH YOUR DEPOSIT EVALUATION BELOW.","")</f>
        <v>YOU MUST ENTER THE DATE OF THE MOST RECENT BANK STATEMENT ABOVE (#5) TO CONTINUE WITH YOUR DEPOSIT EVALUATION BELOW.</v>
      </c>
      <c r="D28" s="534"/>
      <c r="E28" s="534"/>
      <c r="F28" s="534"/>
      <c r="G28" s="534"/>
      <c r="H28" s="534"/>
      <c r="I28" s="534"/>
      <c r="J28" s="534"/>
      <c r="K28" s="534"/>
      <c r="L28" s="534"/>
      <c r="M28" s="534"/>
      <c r="N28" s="534"/>
      <c r="O28" s="534"/>
      <c r="P28" s="534"/>
      <c r="Q28" s="70"/>
      <c r="U28" s="50"/>
      <c r="W28" s="1"/>
    </row>
    <row r="29" spans="2:24" ht="18.75" customHeight="1" thickBot="1" x14ac:dyDescent="0.4">
      <c r="B29" s="9"/>
      <c r="C29" s="491" t="s">
        <v>29</v>
      </c>
      <c r="D29" s="492"/>
      <c r="E29" s="492"/>
      <c r="F29" s="492"/>
      <c r="G29" s="492"/>
      <c r="H29" s="492"/>
      <c r="I29" s="492"/>
      <c r="J29" s="492"/>
      <c r="K29" s="492"/>
      <c r="L29" s="492"/>
      <c r="M29" s="492"/>
      <c r="N29" s="492"/>
      <c r="O29" s="492"/>
      <c r="P29" s="493"/>
      <c r="Q29" s="70"/>
      <c r="R29" s="535"/>
      <c r="S29" s="535"/>
      <c r="T29" s="535"/>
      <c r="U29" s="50"/>
      <c r="W29" s="1"/>
    </row>
    <row r="30" spans="2:24" ht="15.75" customHeight="1" x14ac:dyDescent="0.35">
      <c r="B30" s="9"/>
      <c r="C30" s="524" t="s">
        <v>65</v>
      </c>
      <c r="D30" s="459" t="s">
        <v>35</v>
      </c>
      <c r="E30" s="460"/>
      <c r="F30" s="85"/>
      <c r="G30" s="525" t="s">
        <v>84</v>
      </c>
      <c r="H30" s="525"/>
      <c r="I30" s="525"/>
      <c r="J30" s="525"/>
      <c r="K30" s="525"/>
      <c r="L30" s="525"/>
      <c r="M30" s="85"/>
      <c r="N30" s="459" t="s">
        <v>111</v>
      </c>
      <c r="O30" s="536"/>
      <c r="P30" s="460"/>
      <c r="Q30" s="70"/>
      <c r="R30" s="535"/>
      <c r="S30" s="535"/>
      <c r="T30" s="535"/>
      <c r="U30" s="50"/>
      <c r="W30" s="1"/>
    </row>
    <row r="31" spans="2:24" ht="9.75" customHeight="1" x14ac:dyDescent="0.35">
      <c r="B31" s="9"/>
      <c r="C31" s="525"/>
      <c r="D31" s="461"/>
      <c r="E31" s="462"/>
      <c r="F31" s="85"/>
      <c r="G31" s="436" t="s">
        <v>37</v>
      </c>
      <c r="H31" s="437"/>
      <c r="I31" s="437"/>
      <c r="J31" s="437"/>
      <c r="K31" s="438"/>
      <c r="L31" s="101" t="s">
        <v>36</v>
      </c>
      <c r="M31" s="102"/>
      <c r="N31" s="461"/>
      <c r="O31" s="537"/>
      <c r="P31" s="462"/>
      <c r="Q31" s="70"/>
      <c r="R31" s="535"/>
      <c r="S31" s="535"/>
      <c r="T31" s="535"/>
      <c r="U31" s="50"/>
      <c r="W31" s="1"/>
    </row>
    <row r="32" spans="2:24" ht="21" customHeight="1" x14ac:dyDescent="0.25">
      <c r="B32" s="9"/>
      <c r="C32" s="216" t="str">
        <f>IF(DateRecentStatement="", "TBD", IF(D25&lt;&gt;"",(TEXT(D25,"mmmm-yyy")),"TBD"))</f>
        <v>TBD</v>
      </c>
      <c r="D32" s="463"/>
      <c r="E32" s="463"/>
      <c r="F32" s="296">
        <v>10</v>
      </c>
      <c r="G32" s="433"/>
      <c r="H32" s="434"/>
      <c r="I32" s="434"/>
      <c r="J32" s="434"/>
      <c r="K32" s="435"/>
      <c r="L32" s="350"/>
      <c r="M32" s="351"/>
      <c r="N32" s="463">
        <f>Deposit1-DepositNotBus1</f>
        <v>0</v>
      </c>
      <c r="O32" s="463"/>
      <c r="P32" s="463"/>
      <c r="Q32" s="70"/>
      <c r="R32" s="535"/>
      <c r="S32" s="535"/>
      <c r="T32" s="535"/>
      <c r="U32" s="51"/>
      <c r="W32" s="1"/>
    </row>
    <row r="33" spans="2:23" ht="20.25" customHeight="1" x14ac:dyDescent="0.25">
      <c r="B33" s="9"/>
      <c r="C33" s="217" t="str">
        <f>IF(C32="TBD","TBD",IF(C32&lt;&gt;"",(EDATE($D$25,-1)),""))</f>
        <v>TBD</v>
      </c>
      <c r="D33" s="433"/>
      <c r="E33" s="435"/>
      <c r="F33" s="1"/>
      <c r="G33" s="433"/>
      <c r="H33" s="434"/>
      <c r="I33" s="434"/>
      <c r="J33" s="434"/>
      <c r="K33" s="435"/>
      <c r="L33" s="350"/>
      <c r="M33" s="351"/>
      <c r="N33" s="463">
        <f>Deposit2-DepositNotBus2</f>
        <v>0</v>
      </c>
      <c r="O33" s="463"/>
      <c r="P33" s="463"/>
      <c r="Q33" s="70"/>
      <c r="R33" s="535"/>
      <c r="S33" s="535"/>
      <c r="T33" s="535"/>
      <c r="U33" s="51"/>
      <c r="W33" s="1"/>
    </row>
    <row r="34" spans="2:23" ht="21" customHeight="1" x14ac:dyDescent="0.25">
      <c r="B34" s="9"/>
      <c r="C34" s="217" t="str">
        <f>IF(C33="TBD","TBD",IF(C33&lt;&gt;"",(EDATE($D$25,-2)),""))</f>
        <v>TBD</v>
      </c>
      <c r="D34" s="433"/>
      <c r="E34" s="435"/>
      <c r="F34" s="1"/>
      <c r="G34" s="433"/>
      <c r="H34" s="434"/>
      <c r="I34" s="434"/>
      <c r="J34" s="434"/>
      <c r="K34" s="435"/>
      <c r="L34" s="350"/>
      <c r="M34" s="351"/>
      <c r="N34" s="463">
        <f>Deposit3-DepositNotBus3</f>
        <v>0</v>
      </c>
      <c r="O34" s="463"/>
      <c r="P34" s="463"/>
      <c r="Q34" s="11"/>
      <c r="R34" s="532"/>
      <c r="S34" s="532"/>
      <c r="T34" s="532"/>
      <c r="U34" s="51"/>
      <c r="W34" s="1"/>
    </row>
    <row r="35" spans="2:23" ht="21" customHeight="1" x14ac:dyDescent="0.25">
      <c r="B35" s="9"/>
      <c r="C35" s="217" t="str">
        <f>IF(C34="TBD","TBD",IF(C34&lt;&gt;"",(EDATE($D$25,-3)),""))</f>
        <v>TBD</v>
      </c>
      <c r="D35" s="433"/>
      <c r="E35" s="435"/>
      <c r="F35" s="1"/>
      <c r="G35" s="433"/>
      <c r="H35" s="434"/>
      <c r="I35" s="434"/>
      <c r="J35" s="434"/>
      <c r="K35" s="435"/>
      <c r="L35" s="350"/>
      <c r="M35" s="351"/>
      <c r="N35" s="463">
        <f t="shared" ref="N35:N43" si="0">D35-G35</f>
        <v>0</v>
      </c>
      <c r="O35" s="463"/>
      <c r="P35" s="463"/>
      <c r="Q35" s="11"/>
      <c r="R35" s="532"/>
      <c r="S35" s="532"/>
      <c r="T35" s="532"/>
      <c r="U35" s="51"/>
      <c r="W35" s="1"/>
    </row>
    <row r="36" spans="2:23" ht="21" customHeight="1" x14ac:dyDescent="0.25">
      <c r="B36" s="9"/>
      <c r="C36" s="217" t="str">
        <f>IF(C35="TBD","TBD",IF(C35&lt;&gt;"",(EDATE($D$25,-4)),""))</f>
        <v>TBD</v>
      </c>
      <c r="D36" s="433"/>
      <c r="E36" s="435"/>
      <c r="F36" s="1"/>
      <c r="G36" s="433"/>
      <c r="H36" s="434"/>
      <c r="I36" s="434"/>
      <c r="J36" s="434"/>
      <c r="K36" s="435"/>
      <c r="L36" s="350"/>
      <c r="M36" s="351"/>
      <c r="N36" s="463">
        <f t="shared" si="0"/>
        <v>0</v>
      </c>
      <c r="O36" s="463"/>
      <c r="P36" s="463"/>
      <c r="Q36" s="11"/>
      <c r="R36" s="532"/>
      <c r="S36" s="532"/>
      <c r="T36" s="532"/>
      <c r="U36" s="51"/>
      <c r="W36" s="1"/>
    </row>
    <row r="37" spans="2:23" ht="21" customHeight="1" x14ac:dyDescent="0.25">
      <c r="B37" s="9"/>
      <c r="C37" s="217" t="str">
        <f>IF(C36="TBD","TBD",IF(C36&lt;&gt;"",(EDATE($D$25,-5)),""))</f>
        <v>TBD</v>
      </c>
      <c r="D37" s="433"/>
      <c r="E37" s="435"/>
      <c r="F37" s="1"/>
      <c r="G37" s="433"/>
      <c r="H37" s="434"/>
      <c r="I37" s="434"/>
      <c r="J37" s="434"/>
      <c r="K37" s="435"/>
      <c r="L37" s="350"/>
      <c r="M37" s="351"/>
      <c r="N37" s="463">
        <f t="shared" si="0"/>
        <v>0</v>
      </c>
      <c r="O37" s="463"/>
      <c r="P37" s="463"/>
      <c r="Q37" s="11"/>
      <c r="U37" s="51"/>
      <c r="W37" s="1"/>
    </row>
    <row r="38" spans="2:23" ht="21" customHeight="1" x14ac:dyDescent="0.25">
      <c r="B38" s="9"/>
      <c r="C38" s="217" t="str">
        <f>IF(C37="TBD","TBD",IF(C37&lt;&gt;"",(EDATE($D$25,-6)),""))</f>
        <v>TBD</v>
      </c>
      <c r="D38" s="433"/>
      <c r="E38" s="435"/>
      <c r="F38" s="1"/>
      <c r="G38" s="433"/>
      <c r="H38" s="434"/>
      <c r="I38" s="434"/>
      <c r="J38" s="434"/>
      <c r="K38" s="435"/>
      <c r="L38" s="350"/>
      <c r="M38" s="351"/>
      <c r="N38" s="463">
        <f t="shared" si="0"/>
        <v>0</v>
      </c>
      <c r="O38" s="463"/>
      <c r="P38" s="463"/>
      <c r="Q38" s="11"/>
      <c r="R38" s="528"/>
      <c r="S38" s="529"/>
      <c r="T38" s="152"/>
      <c r="U38" s="51"/>
      <c r="W38" s="1"/>
    </row>
    <row r="39" spans="2:23" ht="21" customHeight="1" x14ac:dyDescent="0.25">
      <c r="B39" s="9"/>
      <c r="C39" s="217" t="str">
        <f>IF(C38="TBD","TBD",IF(C38&lt;&gt;"",(EDATE($D$25,-7)),""))</f>
        <v>TBD</v>
      </c>
      <c r="D39" s="433"/>
      <c r="E39" s="435"/>
      <c r="F39" s="1"/>
      <c r="G39" s="433"/>
      <c r="H39" s="434"/>
      <c r="I39" s="434"/>
      <c r="J39" s="434"/>
      <c r="K39" s="435"/>
      <c r="L39" s="350"/>
      <c r="M39" s="351"/>
      <c r="N39" s="463">
        <f t="shared" si="0"/>
        <v>0</v>
      </c>
      <c r="O39" s="463"/>
      <c r="P39" s="463"/>
      <c r="Q39" s="11"/>
      <c r="R39" s="530"/>
      <c r="S39" s="530"/>
      <c r="T39" s="153"/>
      <c r="U39" s="51"/>
      <c r="W39" s="1"/>
    </row>
    <row r="40" spans="2:23" ht="21" customHeight="1" x14ac:dyDescent="0.25">
      <c r="B40" s="9"/>
      <c r="C40" s="217" t="str">
        <f>IF(C39="TBD","TBD",IF(C39&lt;&gt;"",(EDATE($D$25,-8)),""))</f>
        <v>TBD</v>
      </c>
      <c r="D40" s="433"/>
      <c r="E40" s="435"/>
      <c r="F40" s="1"/>
      <c r="G40" s="433"/>
      <c r="H40" s="434"/>
      <c r="I40" s="434"/>
      <c r="J40" s="434"/>
      <c r="K40" s="435"/>
      <c r="L40" s="350"/>
      <c r="M40" s="351"/>
      <c r="N40" s="463">
        <f t="shared" si="0"/>
        <v>0</v>
      </c>
      <c r="O40" s="463"/>
      <c r="P40" s="463"/>
      <c r="Q40" s="11"/>
      <c r="R40" s="530"/>
      <c r="S40" s="530"/>
      <c r="T40" s="153" t="s">
        <v>4</v>
      </c>
      <c r="U40" s="51"/>
      <c r="W40" s="1"/>
    </row>
    <row r="41" spans="2:23" ht="21" customHeight="1" x14ac:dyDescent="0.25">
      <c r="B41" s="9"/>
      <c r="C41" s="217" t="str">
        <f>IF(C40="TBD","TBD",IF(C40&lt;&gt;"",(EDATE($D$25,-9)),""))</f>
        <v>TBD</v>
      </c>
      <c r="D41" s="433"/>
      <c r="E41" s="435"/>
      <c r="F41" s="1"/>
      <c r="G41" s="433"/>
      <c r="H41" s="434"/>
      <c r="I41" s="434"/>
      <c r="J41" s="434"/>
      <c r="K41" s="435"/>
      <c r="L41" s="350"/>
      <c r="M41" s="351"/>
      <c r="N41" s="463">
        <f t="shared" si="0"/>
        <v>0</v>
      </c>
      <c r="O41" s="463"/>
      <c r="P41" s="463"/>
      <c r="Q41" s="11"/>
      <c r="R41" s="530"/>
      <c r="S41" s="530"/>
      <c r="T41" s="153"/>
      <c r="U41" s="51"/>
      <c r="W41" s="1"/>
    </row>
    <row r="42" spans="2:23" ht="21" customHeight="1" x14ac:dyDescent="0.25">
      <c r="B42" s="9"/>
      <c r="C42" s="217" t="str">
        <f>IF(C41="TBD","TBD",IF(C41&lt;&gt;"",(EDATE($D$25,-10)),""))</f>
        <v>TBD</v>
      </c>
      <c r="D42" s="433"/>
      <c r="E42" s="435"/>
      <c r="F42" s="1"/>
      <c r="G42" s="433"/>
      <c r="H42" s="434"/>
      <c r="I42" s="434"/>
      <c r="J42" s="434"/>
      <c r="K42" s="435"/>
      <c r="L42" s="350"/>
      <c r="M42" s="351"/>
      <c r="N42" s="463">
        <f t="shared" si="0"/>
        <v>0</v>
      </c>
      <c r="O42" s="463"/>
      <c r="P42" s="463"/>
      <c r="Q42" s="11"/>
      <c r="R42" s="530"/>
      <c r="S42" s="530"/>
      <c r="T42" s="153"/>
      <c r="U42" s="51"/>
      <c r="W42" s="1"/>
    </row>
    <row r="43" spans="2:23" ht="21" customHeight="1" x14ac:dyDescent="0.25">
      <c r="B43" s="9"/>
      <c r="C43" s="217" t="str">
        <f>IF(C42="TBD","TBD",IF(C42&lt;&gt;"",(EDATE($D$25,-11)),""))</f>
        <v>TBD</v>
      </c>
      <c r="D43" s="433"/>
      <c r="E43" s="435"/>
      <c r="F43" s="1"/>
      <c r="G43" s="433"/>
      <c r="H43" s="434"/>
      <c r="I43" s="434"/>
      <c r="J43" s="434"/>
      <c r="K43" s="435"/>
      <c r="L43" s="350"/>
      <c r="M43" s="351"/>
      <c r="N43" s="463">
        <f t="shared" si="0"/>
        <v>0</v>
      </c>
      <c r="O43" s="463"/>
      <c r="P43" s="463"/>
      <c r="Q43" s="11"/>
      <c r="R43" s="531"/>
      <c r="S43" s="531"/>
      <c r="T43" s="154"/>
      <c r="U43" s="51"/>
      <c r="W43" s="1"/>
    </row>
    <row r="44" spans="2:23" s="79" customFormat="1" ht="18.75" x14ac:dyDescent="0.3">
      <c r="B44" s="80"/>
      <c r="C44" s="12" t="s">
        <v>62</v>
      </c>
      <c r="D44" s="446">
        <f>SUM(D32:E43)</f>
        <v>0</v>
      </c>
      <c r="E44" s="446"/>
      <c r="F44" s="49"/>
      <c r="G44" s="172">
        <f>SUM(G32:G43)</f>
        <v>0</v>
      </c>
      <c r="H44" s="172"/>
      <c r="I44" s="172"/>
      <c r="J44" s="172"/>
      <c r="K44" s="172"/>
      <c r="L44" s="442" t="s">
        <v>112</v>
      </c>
      <c r="M44" s="442"/>
      <c r="N44" s="527">
        <f>SUM(N32:N43)</f>
        <v>0</v>
      </c>
      <c r="O44" s="527"/>
      <c r="P44" s="527"/>
      <c r="Q44" s="83"/>
      <c r="R44" s="81"/>
      <c r="S44" s="82"/>
      <c r="T44" s="82"/>
      <c r="U44" s="82"/>
      <c r="W44" s="49"/>
    </row>
    <row r="45" spans="2:23" ht="18" customHeight="1" x14ac:dyDescent="0.25">
      <c r="B45" s="9"/>
      <c r="C45" s="490" t="str">
        <f>IF(D44="TBD","NOTE: Totals will not populate until ALL months are entered. If no deposits, enter $0"," ")</f>
        <v xml:space="preserve"> </v>
      </c>
      <c r="D45" s="490"/>
      <c r="E45" s="490"/>
      <c r="F45" s="490"/>
      <c r="G45" s="490"/>
      <c r="H45" s="490"/>
      <c r="I45" s="490"/>
      <c r="J45" s="490"/>
      <c r="K45" s="490"/>
      <c r="L45" s="490"/>
      <c r="M45" s="155"/>
      <c r="N45" s="155"/>
      <c r="O45" s="155"/>
      <c r="P45" s="155"/>
      <c r="Q45" s="11"/>
      <c r="R45" s="1"/>
      <c r="S45" s="1"/>
      <c r="T45" s="1"/>
      <c r="U45" s="1"/>
      <c r="V45" s="1"/>
      <c r="W45" s="1" t="s">
        <v>4</v>
      </c>
    </row>
    <row r="46" spans="2:23" ht="8.4499999999999993" customHeight="1" thickBot="1" x14ac:dyDescent="0.35">
      <c r="B46" s="9"/>
      <c r="C46" s="14"/>
      <c r="D46" s="14"/>
      <c r="E46" s="15"/>
      <c r="F46" s="15"/>
      <c r="G46" s="15"/>
      <c r="H46" s="15"/>
      <c r="I46" s="15"/>
      <c r="J46" s="15"/>
      <c r="K46" s="15"/>
      <c r="L46" s="15"/>
      <c r="M46" s="15"/>
      <c r="N46" s="15"/>
      <c r="O46" s="15"/>
      <c r="P46" s="15"/>
      <c r="Q46" s="16"/>
      <c r="R46" s="15"/>
      <c r="S46" s="15"/>
      <c r="T46" s="15"/>
      <c r="U46" s="15"/>
      <c r="W46" s="1"/>
    </row>
    <row r="47" spans="2:23" ht="18.75" customHeight="1" thickBot="1" x14ac:dyDescent="0.35">
      <c r="B47" s="69"/>
      <c r="C47" s="491" t="s">
        <v>133</v>
      </c>
      <c r="D47" s="492"/>
      <c r="E47" s="492"/>
      <c r="F47" s="492"/>
      <c r="G47" s="492"/>
      <c r="H47" s="492"/>
      <c r="I47" s="492"/>
      <c r="J47" s="492"/>
      <c r="K47" s="492"/>
      <c r="L47" s="492"/>
      <c r="M47" s="492"/>
      <c r="N47" s="492"/>
      <c r="O47" s="492"/>
      <c r="P47" s="493"/>
      <c r="Q47" s="139"/>
      <c r="R47" s="523"/>
      <c r="S47" s="523"/>
      <c r="T47" s="523"/>
      <c r="U47" s="523"/>
      <c r="V47" s="523"/>
      <c r="W47" s="1"/>
    </row>
    <row r="48" spans="2:23" ht="18" customHeight="1" x14ac:dyDescent="0.25">
      <c r="B48" s="9"/>
      <c r="C48" s="524" t="s">
        <v>65</v>
      </c>
      <c r="D48" s="459" t="s">
        <v>35</v>
      </c>
      <c r="E48" s="460"/>
      <c r="F48" s="85"/>
      <c r="G48" s="525" t="s">
        <v>90</v>
      </c>
      <c r="H48" s="525"/>
      <c r="I48" s="525"/>
      <c r="J48" s="525"/>
      <c r="K48" s="525"/>
      <c r="L48" s="525"/>
      <c r="M48" s="85"/>
      <c r="N48" s="525" t="s">
        <v>111</v>
      </c>
      <c r="O48" s="525"/>
      <c r="P48" s="525"/>
      <c r="Q48" s="139"/>
      <c r="R48" s="523"/>
      <c r="S48" s="523"/>
      <c r="T48" s="523"/>
      <c r="U48" s="523"/>
      <c r="V48" s="523"/>
      <c r="W48" s="1"/>
    </row>
    <row r="49" spans="2:23" ht="9.75" customHeight="1" x14ac:dyDescent="0.35">
      <c r="B49" s="9"/>
      <c r="C49" s="525"/>
      <c r="D49" s="461"/>
      <c r="E49" s="462"/>
      <c r="F49" s="85"/>
      <c r="G49" s="436" t="s">
        <v>37</v>
      </c>
      <c r="H49" s="437"/>
      <c r="I49" s="437"/>
      <c r="J49" s="437"/>
      <c r="K49" s="438"/>
      <c r="L49" s="101" t="s">
        <v>36</v>
      </c>
      <c r="M49" s="102"/>
      <c r="N49" s="526"/>
      <c r="O49" s="526"/>
      <c r="P49" s="526"/>
      <c r="Q49" s="139"/>
      <c r="R49" s="100"/>
      <c r="S49" s="100"/>
      <c r="T49" s="100"/>
      <c r="U49" s="50"/>
      <c r="W49" s="1"/>
    </row>
    <row r="50" spans="2:23" ht="20.25" customHeight="1" x14ac:dyDescent="0.25">
      <c r="B50" s="9"/>
      <c r="C50" s="217" t="str">
        <f>IF(C43="TBD","TBD",IF(C43&lt;&gt;"",(EDATE($D$25,-12)),""))</f>
        <v>TBD</v>
      </c>
      <c r="D50" s="413"/>
      <c r="E50" s="414"/>
      <c r="F50" s="177"/>
      <c r="G50" s="413"/>
      <c r="H50" s="494"/>
      <c r="I50" s="494"/>
      <c r="J50" s="494"/>
      <c r="K50" s="414"/>
      <c r="L50" s="178"/>
      <c r="M50" s="179"/>
      <c r="N50" s="445">
        <f t="shared" ref="N50:N52" si="1">D50-G50</f>
        <v>0</v>
      </c>
      <c r="O50" s="445"/>
      <c r="P50" s="445"/>
      <c r="Q50" s="11"/>
      <c r="R50" s="496"/>
      <c r="S50" s="496"/>
      <c r="T50" s="496"/>
      <c r="U50" s="52"/>
      <c r="W50" s="1"/>
    </row>
    <row r="51" spans="2:23" ht="20.25" customHeight="1" x14ac:dyDescent="0.25">
      <c r="B51" s="9"/>
      <c r="C51" s="217" t="str">
        <f>IF(C50="TBD","TBD",IF(C50&lt;&gt;"",(EDATE($D$25,-13)),""))</f>
        <v>TBD</v>
      </c>
      <c r="D51" s="413"/>
      <c r="E51" s="414"/>
      <c r="F51" s="177"/>
      <c r="G51" s="413"/>
      <c r="H51" s="494"/>
      <c r="I51" s="494"/>
      <c r="J51" s="494"/>
      <c r="K51" s="414"/>
      <c r="L51" s="178"/>
      <c r="M51" s="179"/>
      <c r="N51" s="445">
        <f t="shared" si="1"/>
        <v>0</v>
      </c>
      <c r="O51" s="445"/>
      <c r="P51" s="445"/>
      <c r="Q51" s="11"/>
      <c r="R51" s="496"/>
      <c r="S51" s="496"/>
      <c r="T51" s="496"/>
      <c r="U51" s="52"/>
    </row>
    <row r="52" spans="2:23" ht="20.25" customHeight="1" x14ac:dyDescent="0.25">
      <c r="B52" s="9"/>
      <c r="C52" s="217" t="str">
        <f>IF(C51="TBD","TBD",IF(C51&lt;&gt;"",(EDATE($D$25,-14)),""))</f>
        <v>TBD</v>
      </c>
      <c r="D52" s="413"/>
      <c r="E52" s="414"/>
      <c r="F52" s="177"/>
      <c r="G52" s="413"/>
      <c r="H52" s="494"/>
      <c r="I52" s="494"/>
      <c r="J52" s="494"/>
      <c r="K52" s="414"/>
      <c r="L52" s="178"/>
      <c r="M52" s="179"/>
      <c r="N52" s="445">
        <f t="shared" si="1"/>
        <v>0</v>
      </c>
      <c r="O52" s="445"/>
      <c r="P52" s="445"/>
      <c r="Q52" s="11"/>
      <c r="R52" s="522"/>
      <c r="S52" s="522"/>
      <c r="T52" s="522"/>
      <c r="U52" s="52"/>
    </row>
    <row r="53" spans="2:23" ht="20.25" customHeight="1" x14ac:dyDescent="0.25">
      <c r="B53" s="9"/>
      <c r="C53" s="217" t="str">
        <f>IF(C52="TBD","TBD",IF(C52&lt;&gt;"",(EDATE($D$25,-15)),""))</f>
        <v>TBD</v>
      </c>
      <c r="D53" s="413"/>
      <c r="E53" s="414"/>
      <c r="F53" s="177"/>
      <c r="G53" s="413"/>
      <c r="H53" s="494"/>
      <c r="I53" s="494"/>
      <c r="J53" s="494"/>
      <c r="K53" s="414"/>
      <c r="L53" s="178"/>
      <c r="M53" s="179"/>
      <c r="N53" s="445">
        <f t="shared" ref="N53:N61" si="2">D53-G53</f>
        <v>0</v>
      </c>
      <c r="O53" s="445"/>
      <c r="P53" s="445"/>
      <c r="Q53" s="11"/>
      <c r="R53" s="522"/>
      <c r="S53" s="522"/>
      <c r="T53" s="522"/>
      <c r="U53" s="52"/>
    </row>
    <row r="54" spans="2:23" ht="20.25" customHeight="1" x14ac:dyDescent="0.25">
      <c r="B54" s="9"/>
      <c r="C54" s="217" t="str">
        <f>IF(C53="TBD","TBD",IF(C53&lt;&gt;"",(EDATE($D$25,-16)),""))</f>
        <v>TBD</v>
      </c>
      <c r="D54" s="413"/>
      <c r="E54" s="414"/>
      <c r="F54" s="177"/>
      <c r="G54" s="413"/>
      <c r="H54" s="494"/>
      <c r="I54" s="494"/>
      <c r="J54" s="494"/>
      <c r="K54" s="414"/>
      <c r="L54" s="178"/>
      <c r="M54" s="179"/>
      <c r="N54" s="445">
        <f t="shared" si="2"/>
        <v>0</v>
      </c>
      <c r="O54" s="445"/>
      <c r="P54" s="445"/>
      <c r="Q54" s="11"/>
      <c r="R54" s="522"/>
      <c r="S54" s="522"/>
      <c r="T54" s="522"/>
      <c r="U54" s="52"/>
      <c r="V54" s="1"/>
      <c r="W54" s="1"/>
    </row>
    <row r="55" spans="2:23" ht="20.25" customHeight="1" x14ac:dyDescent="0.25">
      <c r="B55" s="9"/>
      <c r="C55" s="217" t="str">
        <f>IF(C54="TBD","TBD",IF(C54&lt;&gt;"",(EDATE($D$25,-17)),""))</f>
        <v>TBD</v>
      </c>
      <c r="D55" s="413"/>
      <c r="E55" s="414"/>
      <c r="F55" s="177"/>
      <c r="G55" s="413"/>
      <c r="H55" s="494"/>
      <c r="I55" s="494"/>
      <c r="J55" s="494"/>
      <c r="K55" s="414"/>
      <c r="L55" s="178"/>
      <c r="M55" s="179"/>
      <c r="N55" s="445">
        <f t="shared" si="2"/>
        <v>0</v>
      </c>
      <c r="O55" s="445"/>
      <c r="P55" s="445"/>
      <c r="Q55" s="11"/>
      <c r="R55" s="522"/>
      <c r="S55" s="522"/>
      <c r="T55" s="522"/>
      <c r="U55" s="52"/>
      <c r="V55" s="1"/>
      <c r="W55" s="1"/>
    </row>
    <row r="56" spans="2:23" ht="20.25" customHeight="1" x14ac:dyDescent="0.25">
      <c r="B56" s="9"/>
      <c r="C56" s="217" t="str">
        <f>IF(C55="TBD","TBD",IF(C55&lt;&gt;"",(EDATE($D$25,-18)),""))</f>
        <v>TBD</v>
      </c>
      <c r="D56" s="413"/>
      <c r="E56" s="414"/>
      <c r="F56" s="177"/>
      <c r="G56" s="413"/>
      <c r="H56" s="494"/>
      <c r="I56" s="494"/>
      <c r="J56" s="494"/>
      <c r="K56" s="414"/>
      <c r="L56" s="178"/>
      <c r="M56" s="179"/>
      <c r="N56" s="445">
        <f t="shared" si="2"/>
        <v>0</v>
      </c>
      <c r="O56" s="445"/>
      <c r="P56" s="445"/>
      <c r="Q56" s="11"/>
      <c r="R56" s="522"/>
      <c r="S56" s="522"/>
      <c r="T56" s="522"/>
      <c r="U56" s="52"/>
      <c r="V56" s="1"/>
      <c r="W56" s="1"/>
    </row>
    <row r="57" spans="2:23" ht="20.25" customHeight="1" x14ac:dyDescent="0.25">
      <c r="B57" s="9"/>
      <c r="C57" s="217" t="str">
        <f>IF(C56="TBD","TBD",IF(C56&lt;&gt;"",(EDATE($D$25,-19)),""))</f>
        <v>TBD</v>
      </c>
      <c r="D57" s="413"/>
      <c r="E57" s="414"/>
      <c r="F57" s="177"/>
      <c r="G57" s="413"/>
      <c r="H57" s="494"/>
      <c r="I57" s="494"/>
      <c r="J57" s="494"/>
      <c r="K57" s="414"/>
      <c r="L57" s="178"/>
      <c r="M57" s="179"/>
      <c r="N57" s="445">
        <f t="shared" si="2"/>
        <v>0</v>
      </c>
      <c r="O57" s="445"/>
      <c r="P57" s="445"/>
      <c r="Q57" s="11"/>
      <c r="R57" s="522"/>
      <c r="S57" s="522"/>
      <c r="T57" s="522"/>
      <c r="U57" s="52"/>
      <c r="V57" s="1"/>
      <c r="W57" s="1"/>
    </row>
    <row r="58" spans="2:23" ht="20.25" customHeight="1" x14ac:dyDescent="0.25">
      <c r="B58" s="9"/>
      <c r="C58" s="217" t="str">
        <f>IF(C57="TBD","TBD",IF(C57&lt;&gt;"",(EDATE($D$25,-20)),""))</f>
        <v>TBD</v>
      </c>
      <c r="D58" s="413"/>
      <c r="E58" s="414"/>
      <c r="F58" s="177"/>
      <c r="G58" s="413"/>
      <c r="H58" s="494"/>
      <c r="I58" s="494"/>
      <c r="J58" s="494"/>
      <c r="K58" s="414"/>
      <c r="L58" s="178"/>
      <c r="M58" s="179"/>
      <c r="N58" s="445">
        <f t="shared" si="2"/>
        <v>0</v>
      </c>
      <c r="O58" s="445"/>
      <c r="P58" s="445"/>
      <c r="Q58" s="11"/>
      <c r="R58" s="522"/>
      <c r="S58" s="522"/>
      <c r="T58" s="522"/>
      <c r="U58" s="52"/>
      <c r="V58" s="1"/>
      <c r="W58" s="1"/>
    </row>
    <row r="59" spans="2:23" ht="20.25" customHeight="1" x14ac:dyDescent="0.25">
      <c r="B59" s="9"/>
      <c r="C59" s="217" t="str">
        <f>IF(C58="TBD","TBD",IF(C58&lt;&gt;"",(EDATE($D$25,-21)),""))</f>
        <v>TBD</v>
      </c>
      <c r="D59" s="413"/>
      <c r="E59" s="414"/>
      <c r="F59" s="177"/>
      <c r="G59" s="413"/>
      <c r="H59" s="494"/>
      <c r="I59" s="494"/>
      <c r="J59" s="494"/>
      <c r="K59" s="414"/>
      <c r="L59" s="178"/>
      <c r="M59" s="179"/>
      <c r="N59" s="445">
        <f t="shared" si="2"/>
        <v>0</v>
      </c>
      <c r="O59" s="445"/>
      <c r="P59" s="445"/>
      <c r="Q59" s="11"/>
      <c r="R59" s="522"/>
      <c r="S59" s="522"/>
      <c r="T59" s="522"/>
      <c r="U59" s="52"/>
      <c r="V59" s="1"/>
      <c r="W59" s="1"/>
    </row>
    <row r="60" spans="2:23" ht="20.25" customHeight="1" x14ac:dyDescent="0.25">
      <c r="B60" s="9"/>
      <c r="C60" s="217" t="str">
        <f>IF(C59="TBD","TBD",IF(C59&lt;&gt;"",(EDATE($D$25,-22)),""))</f>
        <v>TBD</v>
      </c>
      <c r="D60" s="413"/>
      <c r="E60" s="414"/>
      <c r="F60" s="177"/>
      <c r="G60" s="413"/>
      <c r="H60" s="494"/>
      <c r="I60" s="494"/>
      <c r="J60" s="494"/>
      <c r="K60" s="414"/>
      <c r="L60" s="178"/>
      <c r="M60" s="179"/>
      <c r="N60" s="445">
        <f t="shared" si="2"/>
        <v>0</v>
      </c>
      <c r="O60" s="445"/>
      <c r="P60" s="445"/>
      <c r="Q60" s="11"/>
      <c r="R60" s="522"/>
      <c r="S60" s="522"/>
      <c r="T60" s="522"/>
      <c r="U60" s="52"/>
      <c r="V60" s="1"/>
      <c r="W60" s="1"/>
    </row>
    <row r="61" spans="2:23" ht="20.25" customHeight="1" x14ac:dyDescent="0.25">
      <c r="B61" s="9"/>
      <c r="C61" s="217" t="str">
        <f>IF(C60="TBD","TBD",IF(C60&lt;&gt;"",(EDATE($D$25,-23)),""))</f>
        <v>TBD</v>
      </c>
      <c r="D61" s="413"/>
      <c r="E61" s="414"/>
      <c r="F61" s="177"/>
      <c r="G61" s="413"/>
      <c r="H61" s="494"/>
      <c r="I61" s="494"/>
      <c r="J61" s="494"/>
      <c r="K61" s="414"/>
      <c r="L61" s="178"/>
      <c r="M61" s="179"/>
      <c r="N61" s="445">
        <f t="shared" si="2"/>
        <v>0</v>
      </c>
      <c r="O61" s="445"/>
      <c r="P61" s="445"/>
      <c r="Q61" s="11"/>
      <c r="R61" s="522"/>
      <c r="S61" s="522"/>
      <c r="T61" s="522"/>
      <c r="U61" s="52"/>
      <c r="V61" s="1"/>
      <c r="W61" s="1"/>
    </row>
    <row r="62" spans="2:23" s="74" customFormat="1" ht="21" customHeight="1" x14ac:dyDescent="0.3">
      <c r="B62" s="75"/>
      <c r="C62" s="12" t="s">
        <v>6</v>
      </c>
      <c r="D62" s="446">
        <f>SUM(D50:E61)</f>
        <v>0</v>
      </c>
      <c r="E62" s="446"/>
      <c r="F62" s="38"/>
      <c r="G62" s="174">
        <f>SUM(G50:G61)</f>
        <v>0</v>
      </c>
      <c r="H62" s="174"/>
      <c r="I62" s="174"/>
      <c r="J62" s="174"/>
      <c r="K62" s="174"/>
      <c r="L62" s="38"/>
      <c r="M62" s="12" t="s">
        <v>112</v>
      </c>
      <c r="N62" s="517">
        <f>SUM(N50:N61)</f>
        <v>0</v>
      </c>
      <c r="O62" s="517"/>
      <c r="P62" s="517"/>
      <c r="Q62" s="76"/>
      <c r="R62" s="77"/>
      <c r="S62" s="78"/>
      <c r="T62" s="78"/>
      <c r="U62" s="27"/>
      <c r="V62" s="38"/>
      <c r="W62" s="38"/>
    </row>
    <row r="63" spans="2:23" s="74" customFormat="1" ht="21" customHeight="1" x14ac:dyDescent="0.3">
      <c r="B63" s="75"/>
      <c r="C63" s="12"/>
      <c r="D63" s="282"/>
      <c r="E63" s="109"/>
      <c r="F63" s="38"/>
      <c r="G63" s="174"/>
      <c r="H63" s="174"/>
      <c r="I63" s="174"/>
      <c r="J63" s="174"/>
      <c r="K63" s="174"/>
      <c r="L63" s="38"/>
      <c r="M63" s="12"/>
      <c r="N63" s="173"/>
      <c r="O63" s="173"/>
      <c r="P63" s="173"/>
      <c r="Q63" s="76"/>
      <c r="R63" s="77"/>
      <c r="S63" s="78"/>
      <c r="T63" s="78"/>
      <c r="U63" s="27"/>
      <c r="V63" s="38"/>
      <c r="W63" s="38"/>
    </row>
    <row r="64" spans="2:23" ht="4.5" customHeight="1" x14ac:dyDescent="0.3">
      <c r="B64" s="9"/>
      <c r="C64" s="518" t="str">
        <f>IF(D62="TBD","NOTE: Totals will not populate until all months are entered. If no deposits, enter $0"," ")</f>
        <v xml:space="preserve"> </v>
      </c>
      <c r="D64" s="518"/>
      <c r="E64" s="518"/>
      <c r="F64" s="518"/>
      <c r="G64" s="518"/>
      <c r="H64" s="518"/>
      <c r="I64" s="518"/>
      <c r="J64" s="518"/>
      <c r="K64" s="518"/>
      <c r="L64" s="518"/>
      <c r="M64" s="149"/>
      <c r="N64" s="149"/>
      <c r="O64" s="149"/>
      <c r="P64" s="149"/>
      <c r="Q64" s="11"/>
      <c r="S64" s="104"/>
      <c r="T64" s="104"/>
      <c r="U64" s="13"/>
      <c r="V64" s="1"/>
      <c r="W64" s="1"/>
    </row>
    <row r="65" spans="1:23" ht="18.75" x14ac:dyDescent="0.3">
      <c r="B65" s="9"/>
      <c r="C65" s="442" t="s">
        <v>112</v>
      </c>
      <c r="D65" s="442"/>
      <c r="E65" s="442"/>
      <c r="F65" s="442"/>
      <c r="G65" s="442"/>
      <c r="H65" s="442"/>
      <c r="I65" s="82"/>
      <c r="J65" s="519">
        <f>N44+N62</f>
        <v>0</v>
      </c>
      <c r="K65" s="520"/>
      <c r="L65" s="521"/>
      <c r="M65" s="1"/>
      <c r="N65" s="1"/>
      <c r="O65" s="1"/>
      <c r="P65" s="1"/>
      <c r="Q65" s="11"/>
      <c r="V65" s="1"/>
      <c r="W65" s="1"/>
    </row>
    <row r="66" spans="1:23" ht="5.25" customHeight="1" x14ac:dyDescent="0.3">
      <c r="B66" s="9"/>
      <c r="C66" s="282"/>
      <c r="D66" s="282"/>
      <c r="E66" s="12"/>
      <c r="F66" s="12"/>
      <c r="G66" s="12"/>
      <c r="H66" s="12"/>
      <c r="I66" s="219"/>
      <c r="J66" s="219"/>
      <c r="K66" s="219"/>
      <c r="L66" s="220"/>
      <c r="M66" s="1"/>
      <c r="N66" s="1"/>
      <c r="O66" s="1"/>
      <c r="P66" s="1"/>
      <c r="Q66" s="11"/>
      <c r="V66" s="1"/>
      <c r="W66" s="1"/>
    </row>
    <row r="67" spans="1:23" ht="16.5" customHeight="1" thickBot="1" x14ac:dyDescent="0.3">
      <c r="B67" s="18"/>
      <c r="C67" s="24"/>
      <c r="D67" s="24"/>
      <c r="E67" s="24"/>
      <c r="F67" s="24"/>
      <c r="G67" s="24"/>
      <c r="H67" s="24"/>
      <c r="I67" s="24"/>
      <c r="J67" s="24"/>
      <c r="K67" s="24"/>
      <c r="L67" s="24"/>
      <c r="M67" s="24"/>
      <c r="N67" s="24"/>
      <c r="O67" s="24"/>
      <c r="P67" s="24"/>
      <c r="Q67" s="19"/>
      <c r="V67" s="1"/>
      <c r="W67" s="1"/>
    </row>
    <row r="68" spans="1:23" ht="8.4499999999999993" hidden="1" customHeight="1" x14ac:dyDescent="0.25">
      <c r="A68" s="1"/>
      <c r="B68" s="97"/>
      <c r="C68" s="89"/>
      <c r="D68" s="89"/>
      <c r="E68" s="89"/>
      <c r="F68" s="89"/>
      <c r="G68" s="89"/>
      <c r="H68" s="89"/>
      <c r="I68" s="89"/>
      <c r="J68" s="89"/>
      <c r="K68" s="89"/>
      <c r="L68" s="6"/>
      <c r="M68" s="6"/>
      <c r="N68" s="6"/>
      <c r="O68" s="6"/>
      <c r="P68" s="6"/>
      <c r="Q68" s="96"/>
      <c r="R68" s="103"/>
      <c r="S68" s="104"/>
      <c r="T68" s="104"/>
      <c r="U68" s="104"/>
      <c r="V68" s="1"/>
      <c r="W68" s="1"/>
    </row>
    <row r="69" spans="1:23" s="79" customFormat="1" ht="37.5" hidden="1" customHeight="1" x14ac:dyDescent="0.25">
      <c r="A69" s="49"/>
      <c r="B69" s="80"/>
      <c r="C69" s="49"/>
      <c r="D69" s="49"/>
      <c r="E69" s="105" t="s">
        <v>40</v>
      </c>
      <c r="F69" s="488" t="str">
        <f>IF(ISERROR((SUM(E32:E43)+SUM(E50:E61)-SUM(G32:G43)-SUM(G50:G61))/MosReq), "TBD", (SUM(E32:E43)+SUM(E50:E61)-SUM(G32:G43)-SUM(G50:G61))/MosReq)</f>
        <v>TBD</v>
      </c>
      <c r="G69" s="489"/>
      <c r="H69" s="184"/>
      <c r="I69" s="184"/>
      <c r="J69" s="184"/>
      <c r="K69" s="184"/>
      <c r="L69" s="49"/>
      <c r="M69" s="49"/>
      <c r="N69" s="49"/>
      <c r="O69" s="49"/>
      <c r="P69" s="49"/>
      <c r="Q69" s="83"/>
      <c r="R69" s="103"/>
      <c r="S69" s="104"/>
      <c r="T69" s="104"/>
      <c r="U69" s="88"/>
      <c r="V69" s="49"/>
      <c r="W69" s="49"/>
    </row>
    <row r="70" spans="1:23" ht="9" hidden="1" customHeight="1" thickBot="1" x14ac:dyDescent="0.35">
      <c r="A70" s="1"/>
      <c r="B70" s="18"/>
      <c r="C70" s="86"/>
      <c r="D70" s="86"/>
      <c r="E70" s="86"/>
      <c r="F70" s="45"/>
      <c r="G70" s="45"/>
      <c r="H70" s="45"/>
      <c r="I70" s="45"/>
      <c r="J70" s="45"/>
      <c r="K70" s="45"/>
      <c r="L70" s="46"/>
      <c r="M70" s="46"/>
      <c r="N70" s="46"/>
      <c r="O70" s="46"/>
      <c r="P70" s="46"/>
      <c r="Q70" s="47"/>
      <c r="R70" s="17"/>
      <c r="S70" s="6"/>
      <c r="T70" s="6"/>
      <c r="U70" s="6"/>
      <c r="V70" s="1"/>
      <c r="W70" s="1"/>
    </row>
    <row r="71" spans="1:23" ht="27" customHeight="1" thickBot="1" x14ac:dyDescent="0.3">
      <c r="B71" s="508" t="s">
        <v>86</v>
      </c>
      <c r="C71" s="509"/>
      <c r="D71" s="509"/>
      <c r="E71" s="509"/>
      <c r="F71" s="509"/>
      <c r="G71" s="509"/>
      <c r="H71" s="509"/>
      <c r="I71" s="509"/>
      <c r="J71" s="509"/>
      <c r="K71" s="509"/>
      <c r="L71" s="509"/>
      <c r="M71" s="509"/>
      <c r="N71" s="509"/>
      <c r="O71" s="509"/>
      <c r="P71" s="509"/>
      <c r="Q71" s="510"/>
      <c r="R71" s="1"/>
      <c r="S71" s="1"/>
      <c r="T71" s="66"/>
      <c r="U71" s="1"/>
      <c r="V71" s="1"/>
      <c r="W71" s="1"/>
    </row>
    <row r="72" spans="1:23" ht="9" customHeight="1" x14ac:dyDescent="0.25">
      <c r="B72" s="189"/>
      <c r="C72" s="176"/>
      <c r="D72" s="176"/>
      <c r="E72" s="176"/>
      <c r="F72" s="176"/>
      <c r="G72" s="176"/>
      <c r="H72" s="176"/>
      <c r="I72" s="176"/>
      <c r="J72" s="176"/>
      <c r="K72" s="176"/>
      <c r="L72" s="176"/>
      <c r="M72" s="176"/>
      <c r="N72" s="176"/>
      <c r="O72" s="176"/>
      <c r="P72" s="176"/>
      <c r="Q72" s="238"/>
      <c r="R72" s="1"/>
      <c r="S72" s="1"/>
      <c r="T72" s="67"/>
      <c r="U72" s="1"/>
      <c r="V72" s="1"/>
    </row>
    <row r="73" spans="1:23" ht="27" customHeight="1" x14ac:dyDescent="0.25">
      <c r="B73" s="189"/>
      <c r="C73" s="176"/>
      <c r="D73" s="176"/>
      <c r="E73" s="190" t="s">
        <v>66</v>
      </c>
      <c r="F73" s="176"/>
      <c r="G73" s="511"/>
      <c r="H73" s="512"/>
      <c r="I73" s="512"/>
      <c r="J73" s="512"/>
      <c r="K73" s="512"/>
      <c r="L73" s="513"/>
      <c r="M73" s="176"/>
      <c r="N73" s="176"/>
      <c r="O73" s="176"/>
      <c r="P73" s="176"/>
      <c r="Q73" s="196"/>
      <c r="R73" s="1"/>
      <c r="S73" s="1"/>
      <c r="T73" s="67"/>
      <c r="U73" s="1"/>
      <c r="V73" s="1"/>
    </row>
    <row r="74" spans="1:23" ht="16.5" customHeight="1" x14ac:dyDescent="0.25">
      <c r="B74" s="560" t="str">
        <f>IF(D6="","Please fill out FICO in Step 1 to determine if you can use Option 1.",IF(D6&lt;680,"This option has a min FICO of 680 (Core) or 700 (Plus)",""))</f>
        <v>Please fill out FICO in Step 1 to determine if you can use Option 1.</v>
      </c>
      <c r="C74" s="561"/>
      <c r="D74" s="561"/>
      <c r="E74" s="561"/>
      <c r="F74" s="561"/>
      <c r="G74" s="561"/>
      <c r="H74" s="561"/>
      <c r="I74" s="561"/>
      <c r="J74"/>
      <c r="K74"/>
      <c r="L74"/>
      <c r="M74" s="176"/>
      <c r="N74" s="176"/>
      <c r="O74" s="176"/>
      <c r="P74" s="176"/>
      <c r="Q74" s="196"/>
      <c r="R74" s="1"/>
      <c r="S74" s="1"/>
      <c r="T74" s="67"/>
      <c r="U74" s="1"/>
      <c r="V74" s="1"/>
    </row>
    <row r="75" spans="1:23" ht="11.25" customHeight="1" x14ac:dyDescent="0.25">
      <c r="B75" s="429" t="str">
        <f>IF(D8="","Please fill out LTV in Step 1 to determine if you can use Option 1.",IF(D8&gt;75,"This option has a max LTV of 75%",""))</f>
        <v>Please fill out LTV in Step 1 to determine if you can use Option 1.</v>
      </c>
      <c r="C75" s="430"/>
      <c r="D75" s="430"/>
      <c r="E75" s="430"/>
      <c r="F75" s="430"/>
      <c r="G75" s="430"/>
      <c r="H75" s="430"/>
      <c r="I75" s="430"/>
      <c r="J75" s="159"/>
      <c r="K75" s="159"/>
      <c r="L75" s="159"/>
      <c r="M75" s="176"/>
      <c r="N75" s="176"/>
      <c r="O75" s="176"/>
      <c r="P75" s="176"/>
      <c r="Q75" s="196"/>
      <c r="R75" s="1"/>
      <c r="S75" s="1"/>
      <c r="T75" s="66"/>
      <c r="U75" s="1"/>
    </row>
    <row r="76" spans="1:23" ht="54.75" customHeight="1" x14ac:dyDescent="0.25">
      <c r="B76" s="514" t="s">
        <v>128</v>
      </c>
      <c r="C76" s="515"/>
      <c r="D76" s="515"/>
      <c r="E76" s="515"/>
      <c r="F76" s="515"/>
      <c r="G76" s="515"/>
      <c r="H76" s="515"/>
      <c r="I76" s="516"/>
      <c r="K76" s="495" t="s">
        <v>134</v>
      </c>
      <c r="L76" s="495"/>
      <c r="M76" s="495"/>
      <c r="N76" s="495"/>
      <c r="O76" s="495"/>
      <c r="P76" s="495"/>
      <c r="Q76" s="495"/>
      <c r="R76" s="202"/>
      <c r="S76" s="1"/>
      <c r="T76" s="66"/>
      <c r="U76" s="1"/>
    </row>
    <row r="77" spans="1:23" s="66" customFormat="1" ht="5.25" customHeight="1" x14ac:dyDescent="0.25">
      <c r="B77" s="197"/>
      <c r="C77" s="227"/>
      <c r="D77" s="181"/>
      <c r="E77" s="181"/>
      <c r="F77" s="181"/>
      <c r="G77" s="181"/>
      <c r="H77" s="181"/>
      <c r="I77" s="196"/>
      <c r="K77" s="301"/>
      <c r="L77" s="187"/>
      <c r="M77" s="187"/>
      <c r="N77" s="187"/>
      <c r="O77" s="187"/>
      <c r="P77" s="187"/>
      <c r="Q77" s="191"/>
      <c r="R77" s="67"/>
      <c r="S77" s="67"/>
      <c r="U77" s="67"/>
    </row>
    <row r="78" spans="1:23" ht="9.75" customHeight="1" x14ac:dyDescent="0.25">
      <c r="B78" s="189"/>
      <c r="C78" s="246"/>
      <c r="D78" s="246"/>
      <c r="E78" s="246"/>
      <c r="F78" s="246"/>
      <c r="G78" s="246"/>
      <c r="H78" s="246"/>
      <c r="I78" s="196"/>
      <c r="K78" s="302"/>
      <c r="L78" s="245"/>
      <c r="M78" s="245"/>
      <c r="N78" s="245"/>
      <c r="O78" s="245"/>
      <c r="P78" s="245"/>
      <c r="Q78" s="222"/>
      <c r="R78" s="1"/>
      <c r="S78" s="1"/>
      <c r="T78" s="67"/>
      <c r="U78" s="1"/>
    </row>
    <row r="79" spans="1:23" ht="19.5" customHeight="1" x14ac:dyDescent="0.25">
      <c r="B79" s="189"/>
      <c r="C79" s="426" t="s">
        <v>68</v>
      </c>
      <c r="D79" s="427"/>
      <c r="E79" s="418">
        <f>GoodsorServices</f>
        <v>0</v>
      </c>
      <c r="F79" s="419"/>
      <c r="G79" s="419"/>
      <c r="H79" s="420"/>
      <c r="I79" s="196"/>
      <c r="K79" s="302"/>
      <c r="L79" s="457" t="s">
        <v>135</v>
      </c>
      <c r="M79" s="457"/>
      <c r="N79" s="458"/>
      <c r="O79" s="433"/>
      <c r="P79" s="435"/>
      <c r="Q79" s="221"/>
      <c r="R79" s="322"/>
      <c r="S79" s="1"/>
      <c r="T79" s="67"/>
      <c r="U79" s="1"/>
    </row>
    <row r="80" spans="1:23" ht="15.75" customHeight="1" x14ac:dyDescent="0.25">
      <c r="B80" s="189"/>
      <c r="C80" s="1"/>
      <c r="D80" s="1"/>
      <c r="E80" s="176"/>
      <c r="F80" s="1"/>
      <c r="G80" s="1"/>
      <c r="H80" s="1"/>
      <c r="I80" s="196"/>
      <c r="K80" s="302"/>
      <c r="L80" s="428" t="s">
        <v>136</v>
      </c>
      <c r="M80" s="428"/>
      <c r="N80" s="428"/>
      <c r="O80" s="428"/>
      <c r="P80" s="428"/>
      <c r="Q80" s="221"/>
      <c r="R80" s="1"/>
      <c r="S80" s="1"/>
      <c r="T80" s="67"/>
      <c r="U80" s="1"/>
    </row>
    <row r="81" spans="2:23" ht="18.75" x14ac:dyDescent="0.3">
      <c r="B81" s="189"/>
      <c r="C81" s="425" t="s">
        <v>122</v>
      </c>
      <c r="D81" s="425"/>
      <c r="E81" s="418">
        <f>Employees</f>
        <v>0</v>
      </c>
      <c r="F81" s="419"/>
      <c r="G81" s="419"/>
      <c r="H81" s="420"/>
      <c r="I81" s="208"/>
      <c r="K81" s="302"/>
      <c r="L81" s="306" t="s">
        <v>0</v>
      </c>
      <c r="M81" s="307"/>
      <c r="N81" s="297"/>
      <c r="O81" s="413"/>
      <c r="P81" s="414"/>
      <c r="Q81" s="223"/>
      <c r="R81" s="472" t="str">
        <f>IF(BT="Business",IF(AND(OR('Bank Statements'!M6="Sells Goods", 'Bank Statements'!M6="Both"),OR(O81="", O81&lt;1)),"Your borrower sells goods, please enter COGS to the left!",""),"")</f>
        <v/>
      </c>
      <c r="S81" s="472"/>
      <c r="T81" s="472"/>
      <c r="U81" s="472"/>
      <c r="V81" s="473"/>
      <c r="W81" s="1"/>
    </row>
    <row r="82" spans="2:23" ht="6" customHeight="1" x14ac:dyDescent="0.3">
      <c r="B82" s="189"/>
      <c r="C82" s="425"/>
      <c r="D82" s="425"/>
      <c r="E82" s="176"/>
      <c r="F82" s="295"/>
      <c r="G82" s="295"/>
      <c r="H82" s="295"/>
      <c r="I82" s="208"/>
      <c r="K82" s="302"/>
      <c r="L82" s="308"/>
      <c r="M82" s="306"/>
      <c r="N82" s="283"/>
      <c r="O82" s="185"/>
      <c r="P82" s="290"/>
      <c r="Q82" s="223"/>
      <c r="R82" s="287"/>
      <c r="S82" s="287"/>
      <c r="T82" s="311"/>
      <c r="U82" s="287"/>
      <c r="V82" s="287"/>
      <c r="W82" s="1"/>
    </row>
    <row r="83" spans="2:23" ht="19.5" customHeight="1" x14ac:dyDescent="0.3">
      <c r="B83" s="189"/>
      <c r="C83" s="312" t="s">
        <v>125</v>
      </c>
      <c r="D83" s="313"/>
      <c r="E83" s="421" t="str">
        <f>IFERROR(J65/MosReq,"TBD")</f>
        <v>TBD</v>
      </c>
      <c r="F83" s="422"/>
      <c r="G83" s="422"/>
      <c r="H83" s="423"/>
      <c r="I83" s="198" t="str">
        <f>IF(AND('Bank Statements'!M8="Yes",OR(O83="", O83&lt;1)),"Your borrower has employees, please enter wages to the left!","")</f>
        <v/>
      </c>
      <c r="K83" s="302"/>
      <c r="L83" s="213" t="s">
        <v>1</v>
      </c>
      <c r="M83" s="307"/>
      <c r="N83" s="169"/>
      <c r="O83" s="413"/>
      <c r="P83" s="414"/>
      <c r="Q83" s="223"/>
      <c r="R83" s="562" t="str">
        <f>IF(BT="Business",IF(AND(OR(Employees="1-5",Employees="&gt;5"),O83&lt;1),"Your borrower pays employees/contractors, please enter rent to the left",""),"")</f>
        <v/>
      </c>
      <c r="S83" s="563"/>
      <c r="T83" s="563"/>
      <c r="U83" s="563"/>
      <c r="V83" s="563"/>
    </row>
    <row r="84" spans="2:23" ht="6" customHeight="1" x14ac:dyDescent="0.3">
      <c r="B84" s="189"/>
      <c r="C84" s="286"/>
      <c r="D84" s="286"/>
      <c r="E84" s="176"/>
      <c r="F84" s="1"/>
      <c r="G84" s="1"/>
      <c r="H84" s="1"/>
      <c r="I84" s="198"/>
      <c r="K84" s="302"/>
      <c r="L84" s="308"/>
      <c r="M84" s="213"/>
      <c r="N84" s="285"/>
      <c r="O84" s="185"/>
      <c r="P84" s="290"/>
      <c r="Q84" s="223"/>
      <c r="R84" s="194"/>
      <c r="S84" s="194"/>
      <c r="T84" s="67"/>
      <c r="U84" s="1"/>
    </row>
    <row r="85" spans="2:23" ht="19.5" customHeight="1" x14ac:dyDescent="0.3">
      <c r="B85" s="189"/>
      <c r="C85" s="312" t="s">
        <v>126</v>
      </c>
      <c r="D85" s="313"/>
      <c r="E85" s="405" t="str">
        <f>IFERROR((1-VLOOKUP(E81,Admin!$O$8:$R$10,IF(M6="Offers Services", 2, 3),0))*E83,"TBD")</f>
        <v>TBD</v>
      </c>
      <c r="F85" s="406"/>
      <c r="G85" s="406"/>
      <c r="H85" s="407"/>
      <c r="I85" s="208"/>
      <c r="K85" s="302"/>
      <c r="L85" s="306" t="s">
        <v>34</v>
      </c>
      <c r="M85" s="307"/>
      <c r="N85" s="297"/>
      <c r="O85" s="413"/>
      <c r="P85" s="414"/>
      <c r="Q85" s="223"/>
      <c r="R85" s="195" t="str">
        <f>IF(BT="Business",IF(AND('Bank Statements'!M10="Yes",OR(O85="",O85&lt;1)),"Your borrower leases space, please enter rent to the left",""),"")</f>
        <v/>
      </c>
      <c r="S85" s="195"/>
      <c r="T85" s="67"/>
      <c r="U85" s="1"/>
    </row>
    <row r="86" spans="2:23" ht="4.5" customHeight="1" x14ac:dyDescent="0.3">
      <c r="B86" s="189"/>
      <c r="C86" s="180"/>
      <c r="D86" s="180"/>
      <c r="E86" s="176"/>
      <c r="F86" s="281"/>
      <c r="G86" s="239"/>
      <c r="H86" s="239"/>
      <c r="I86" s="208"/>
      <c r="K86" s="302"/>
      <c r="L86" s="308"/>
      <c r="M86" s="306"/>
      <c r="N86" s="283"/>
      <c r="O86" s="185"/>
      <c r="P86" s="290"/>
      <c r="Q86" s="223"/>
      <c r="R86" s="195"/>
      <c r="S86" s="195"/>
      <c r="T86" s="67"/>
      <c r="U86" s="1"/>
    </row>
    <row r="87" spans="2:23" ht="19.5" customHeight="1" x14ac:dyDescent="0.3">
      <c r="B87" s="189"/>
      <c r="C87" s="391" t="s">
        <v>127</v>
      </c>
      <c r="D87" s="315"/>
      <c r="E87" s="424" t="str">
        <f>IFERROR(E85*Ownership,"TBD")</f>
        <v>TBD</v>
      </c>
      <c r="F87" s="424"/>
      <c r="G87" s="424"/>
      <c r="H87" s="424"/>
      <c r="I87" s="208"/>
      <c r="K87" s="302"/>
      <c r="L87" s="507" t="s">
        <v>43</v>
      </c>
      <c r="M87" s="507"/>
      <c r="N87" s="283"/>
      <c r="O87" s="413"/>
      <c r="P87" s="414"/>
      <c r="Q87" s="223"/>
      <c r="R87" s="195"/>
      <c r="S87" s="195"/>
      <c r="T87" s="67"/>
      <c r="U87" s="1"/>
    </row>
    <row r="88" spans="2:23" ht="6.75" customHeight="1" x14ac:dyDescent="0.3">
      <c r="B88" s="189"/>
      <c r="C88" s="180"/>
      <c r="D88" s="180"/>
      <c r="E88" s="305"/>
      <c r="F88" s="316"/>
      <c r="G88" s="316"/>
      <c r="H88" s="316"/>
      <c r="I88" s="208"/>
      <c r="K88" s="302"/>
      <c r="L88" s="308"/>
      <c r="M88" s="306"/>
      <c r="N88" s="283"/>
      <c r="O88" s="185"/>
      <c r="P88" s="290"/>
      <c r="Q88" s="223"/>
      <c r="R88" s="195"/>
      <c r="S88" s="195"/>
      <c r="T88" s="67"/>
      <c r="U88" s="1"/>
    </row>
    <row r="89" spans="2:23" ht="19.5" customHeight="1" x14ac:dyDescent="0.3">
      <c r="B89" s="189"/>
      <c r="C89" s="409"/>
      <c r="D89" s="410"/>
      <c r="E89" s="408" t="s">
        <v>69</v>
      </c>
      <c r="F89" s="408"/>
      <c r="G89" s="408"/>
      <c r="H89" s="408"/>
      <c r="I89" s="196"/>
      <c r="K89" s="302"/>
      <c r="L89" s="360" t="s">
        <v>123</v>
      </c>
      <c r="M89" s="310"/>
      <c r="N89" s="294"/>
      <c r="O89" s="415"/>
      <c r="P89" s="415"/>
      <c r="Q89" s="223"/>
      <c r="R89" s="1"/>
      <c r="S89" s="1"/>
      <c r="T89" s="67"/>
      <c r="U89" s="1"/>
    </row>
    <row r="90" spans="2:23" ht="3.75" customHeight="1" x14ac:dyDescent="0.3">
      <c r="B90" s="189"/>
      <c r="C90" s="409"/>
      <c r="D90" s="410"/>
      <c r="E90" s="408"/>
      <c r="F90" s="408"/>
      <c r="G90" s="408"/>
      <c r="H90" s="408"/>
      <c r="I90" s="196"/>
      <c r="K90" s="302"/>
      <c r="L90" s="298"/>
      <c r="M90" s="298"/>
      <c r="N90" s="284"/>
      <c r="O90" s="185"/>
      <c r="P90" s="290"/>
      <c r="Q90" s="223"/>
      <c r="R90" s="1"/>
      <c r="S90" s="1"/>
      <c r="T90" s="67"/>
      <c r="U90" s="1"/>
    </row>
    <row r="91" spans="2:23" ht="19.5" customHeight="1" x14ac:dyDescent="0.3">
      <c r="B91" s="189"/>
      <c r="C91" s="409"/>
      <c r="D91" s="410"/>
      <c r="E91" s="471">
        <v>0</v>
      </c>
      <c r="F91" s="471"/>
      <c r="G91" s="468" t="s">
        <v>73</v>
      </c>
      <c r="H91" s="470" t="s">
        <v>160</v>
      </c>
      <c r="I91" s="205"/>
      <c r="K91" s="302"/>
      <c r="L91" s="360" t="s">
        <v>123</v>
      </c>
      <c r="M91" s="298"/>
      <c r="N91" s="294"/>
      <c r="O91" s="415"/>
      <c r="P91" s="415"/>
      <c r="Q91" s="223"/>
      <c r="R91" s="1"/>
      <c r="S91" s="1"/>
      <c r="T91" s="67"/>
      <c r="U91" s="1"/>
    </row>
    <row r="92" spans="2:23" ht="3" customHeight="1" x14ac:dyDescent="0.3">
      <c r="B92" s="189"/>
      <c r="C92" s="411"/>
      <c r="D92" s="412"/>
      <c r="E92" s="408"/>
      <c r="F92" s="408"/>
      <c r="G92" s="469"/>
      <c r="H92" s="471"/>
      <c r="I92" s="205"/>
      <c r="K92" s="302"/>
      <c r="L92" s="298"/>
      <c r="M92" s="298"/>
      <c r="N92" s="294"/>
      <c r="O92" s="185"/>
      <c r="P92" s="290"/>
      <c r="Q92" s="223"/>
      <c r="R92" s="1"/>
      <c r="S92" s="1"/>
      <c r="T92" s="67"/>
      <c r="U92" s="1"/>
    </row>
    <row r="93" spans="2:23" ht="19.5" customHeight="1" x14ac:dyDescent="0.3">
      <c r="B93" s="189"/>
      <c r="C93" s="451" t="s">
        <v>119</v>
      </c>
      <c r="D93" s="452"/>
      <c r="E93" s="467">
        <v>0.2</v>
      </c>
      <c r="F93" s="467"/>
      <c r="G93" s="467">
        <v>0.4</v>
      </c>
      <c r="H93" s="464">
        <v>0.6</v>
      </c>
      <c r="I93" s="196"/>
      <c r="K93" s="302"/>
      <c r="L93" s="360" t="s">
        <v>123</v>
      </c>
      <c r="M93" s="298"/>
      <c r="N93" s="294"/>
      <c r="O93" s="415"/>
      <c r="P93" s="415"/>
      <c r="Q93" s="223"/>
      <c r="R93" s="1"/>
      <c r="S93" s="1"/>
      <c r="T93" s="67"/>
      <c r="U93" s="1"/>
    </row>
    <row r="94" spans="2:23" ht="3" customHeight="1" x14ac:dyDescent="0.3">
      <c r="B94" s="189"/>
      <c r="C94" s="453" t="s">
        <v>121</v>
      </c>
      <c r="D94" s="454"/>
      <c r="E94" s="467"/>
      <c r="F94" s="467"/>
      <c r="G94" s="467"/>
      <c r="H94" s="465"/>
      <c r="I94" s="196"/>
      <c r="K94" s="302"/>
      <c r="L94" s="176"/>
      <c r="M94" s="186"/>
      <c r="N94" s="294"/>
      <c r="O94" s="293"/>
      <c r="P94" s="290"/>
      <c r="Q94" s="223"/>
      <c r="R94" s="1"/>
      <c r="S94" s="1"/>
      <c r="T94" s="67"/>
      <c r="U94" s="1"/>
    </row>
    <row r="95" spans="2:23" ht="19.5" customHeight="1" x14ac:dyDescent="0.3">
      <c r="B95" s="189"/>
      <c r="C95" s="453"/>
      <c r="D95" s="454"/>
      <c r="E95" s="467"/>
      <c r="F95" s="467"/>
      <c r="G95" s="467"/>
      <c r="H95" s="465"/>
      <c r="I95" s="196"/>
      <c r="K95" s="302"/>
      <c r="L95" s="176"/>
      <c r="M95" s="185"/>
      <c r="N95" s="232" t="s">
        <v>7</v>
      </c>
      <c r="O95" s="416">
        <f>SUM(O81:P93)</f>
        <v>0</v>
      </c>
      <c r="P95" s="416"/>
      <c r="Q95" s="223"/>
      <c r="R95" s="1"/>
      <c r="S95" s="1"/>
      <c r="T95" s="67"/>
      <c r="U95" s="1"/>
    </row>
    <row r="96" spans="2:23" ht="4.5" customHeight="1" x14ac:dyDescent="0.3">
      <c r="B96" s="189"/>
      <c r="C96" s="453"/>
      <c r="D96" s="454"/>
      <c r="E96" s="467"/>
      <c r="F96" s="467"/>
      <c r="G96" s="467"/>
      <c r="H96" s="465"/>
      <c r="I96" s="196"/>
      <c r="K96" s="302"/>
      <c r="L96" s="176"/>
      <c r="M96" s="186"/>
      <c r="N96" s="294"/>
      <c r="O96" s="354"/>
      <c r="P96" s="290"/>
      <c r="Q96" s="223"/>
      <c r="R96" s="1"/>
      <c r="S96" s="1"/>
      <c r="T96" s="67"/>
      <c r="U96" s="1"/>
    </row>
    <row r="97" spans="1:21" ht="15" customHeight="1" x14ac:dyDescent="0.25">
      <c r="B97" s="189"/>
      <c r="C97" s="453"/>
      <c r="D97" s="454"/>
      <c r="E97" s="467"/>
      <c r="F97" s="467"/>
      <c r="G97" s="467"/>
      <c r="H97" s="465"/>
      <c r="I97" s="196"/>
      <c r="K97" s="302"/>
      <c r="L97" s="1"/>
      <c r="M97" s="1"/>
      <c r="N97" s="232" t="s">
        <v>26</v>
      </c>
      <c r="O97" s="416">
        <f>O79-O95</f>
        <v>0</v>
      </c>
      <c r="P97" s="416"/>
      <c r="Q97" s="192"/>
      <c r="R97" s="1"/>
      <c r="S97" s="1"/>
      <c r="T97" s="66"/>
      <c r="U97" s="1"/>
    </row>
    <row r="98" spans="1:21" ht="8.25" customHeight="1" x14ac:dyDescent="0.25">
      <c r="B98" s="189"/>
      <c r="C98" s="455"/>
      <c r="D98" s="456"/>
      <c r="E98" s="467"/>
      <c r="F98" s="467"/>
      <c r="G98" s="467"/>
      <c r="H98" s="466"/>
      <c r="I98" s="196"/>
      <c r="K98" s="302"/>
      <c r="L98" s="176"/>
      <c r="M98" s="185"/>
      <c r="N98" s="232"/>
      <c r="O98" s="355"/>
      <c r="P98" s="356"/>
      <c r="Q98" s="192"/>
      <c r="R98" s="1"/>
      <c r="S98" s="1"/>
      <c r="T98" s="66"/>
      <c r="U98" s="1"/>
    </row>
    <row r="99" spans="1:21" ht="15" customHeight="1" x14ac:dyDescent="0.25">
      <c r="B99" s="189"/>
      <c r="C99" s="451" t="s">
        <v>120</v>
      </c>
      <c r="D99" s="452"/>
      <c r="E99" s="467">
        <v>0.4</v>
      </c>
      <c r="F99" s="467"/>
      <c r="G99" s="467">
        <v>0.6</v>
      </c>
      <c r="H99" s="464">
        <v>0.8</v>
      </c>
      <c r="I99" s="196"/>
      <c r="K99" s="302"/>
      <c r="L99" s="176"/>
      <c r="M99" s="185"/>
      <c r="N99" s="232" t="s">
        <v>114</v>
      </c>
      <c r="O99" s="416">
        <f>O97*('Bank Statements'!D10)</f>
        <v>0</v>
      </c>
      <c r="P99" s="416"/>
      <c r="Q99" s="192"/>
      <c r="R99" s="1"/>
      <c r="S99" s="1"/>
      <c r="T99" s="66"/>
      <c r="U99" s="1"/>
    </row>
    <row r="100" spans="1:21" ht="8.25" customHeight="1" x14ac:dyDescent="0.25">
      <c r="B100" s="189"/>
      <c r="C100" s="447" t="s">
        <v>72</v>
      </c>
      <c r="D100" s="448"/>
      <c r="E100" s="467"/>
      <c r="F100" s="467"/>
      <c r="G100" s="467"/>
      <c r="H100" s="465"/>
      <c r="I100" s="196"/>
      <c r="K100" s="302"/>
      <c r="L100" s="176"/>
      <c r="M100" s="185"/>
      <c r="N100" s="188"/>
      <c r="O100" s="185"/>
      <c r="P100" s="244"/>
      <c r="Q100" s="192"/>
      <c r="R100" s="1"/>
      <c r="S100" s="1"/>
      <c r="T100" s="66"/>
      <c r="U100" s="1"/>
    </row>
    <row r="101" spans="1:21" ht="15" customHeight="1" x14ac:dyDescent="0.25">
      <c r="A101" s="156"/>
      <c r="B101" s="189"/>
      <c r="C101" s="447"/>
      <c r="D101" s="448"/>
      <c r="E101" s="467"/>
      <c r="F101" s="467"/>
      <c r="G101" s="467"/>
      <c r="H101" s="465"/>
      <c r="I101" s="196"/>
      <c r="K101" s="302"/>
      <c r="L101" s="288"/>
      <c r="M101" s="1"/>
      <c r="N101" s="248" t="s">
        <v>59</v>
      </c>
      <c r="O101" s="417" t="str">
        <f>IFERROR(O99/MosReq,"TBD")</f>
        <v>TBD</v>
      </c>
      <c r="P101" s="417"/>
      <c r="Q101" s="192"/>
      <c r="R101" s="1"/>
      <c r="S101" s="1"/>
      <c r="T101" s="66"/>
      <c r="U101" s="1"/>
    </row>
    <row r="102" spans="1:21" ht="8.25" customHeight="1" x14ac:dyDescent="0.25">
      <c r="B102" s="189"/>
      <c r="C102" s="449"/>
      <c r="D102" s="450"/>
      <c r="E102" s="467"/>
      <c r="F102" s="467"/>
      <c r="G102" s="467"/>
      <c r="H102" s="466"/>
      <c r="I102" s="196"/>
      <c r="K102" s="302"/>
      <c r="L102" s="176"/>
      <c r="M102" s="185"/>
      <c r="N102" s="188"/>
      <c r="O102" s="185"/>
      <c r="P102" s="300"/>
      <c r="Q102" s="192"/>
      <c r="R102" s="1"/>
      <c r="S102" s="1"/>
      <c r="T102" s="66"/>
      <c r="U102" s="1"/>
    </row>
    <row r="103" spans="1:21" ht="31.5" customHeight="1" x14ac:dyDescent="0.25">
      <c r="B103" s="189"/>
      <c r="C103" s="291"/>
      <c r="D103" s="291"/>
      <c r="E103" s="291"/>
      <c r="F103" s="292"/>
      <c r="G103" s="292"/>
      <c r="H103" s="292"/>
      <c r="I103" s="196"/>
      <c r="K103" s="302"/>
      <c r="L103" s="443" t="str">
        <f>"Requirement: Gross Income ("&amp;DOLLAR(O79,0)&amp;") within 10% 
of Total Net Deposits("&amp;DOLLAR(J65,0)&amp;"):"</f>
        <v>Requirement: Gross Income ($0) within 10% 
of Total Net Deposits($0):</v>
      </c>
      <c r="M103" s="443"/>
      <c r="N103" s="444"/>
      <c r="O103" s="431" t="str">
        <f>IF(O79="","Please fill out Gross Income!",IF(BT="Business",IFERROR(IF((ABS(O79-J65))/(MAX(O79,J65))&lt;=10%,"YES","NO"),"TBD"),"Please change to Business loan"))</f>
        <v>Please fill out Gross Income!</v>
      </c>
      <c r="P103" s="432"/>
      <c r="Q103" s="224"/>
      <c r="R103" s="353" t="str">
        <f>IF(BT="Business",IF(O103="NO","You exceeded 10%, please contact your Scenario Desk",""),"")</f>
        <v/>
      </c>
      <c r="S103" s="1"/>
      <c r="T103" s="66"/>
      <c r="U103" s="1"/>
    </row>
    <row r="104" spans="1:21" ht="11.25" customHeight="1" x14ac:dyDescent="0.25">
      <c r="B104" s="189"/>
      <c r="C104" s="200"/>
      <c r="D104" s="200"/>
      <c r="E104" s="200"/>
      <c r="F104" s="200"/>
      <c r="G104" s="200"/>
      <c r="H104" s="200"/>
      <c r="I104" s="196"/>
      <c r="K104" s="302"/>
      <c r="L104" s="176"/>
      <c r="M104" s="185"/>
      <c r="N104" s="185"/>
      <c r="O104" s="185"/>
      <c r="P104" s="118"/>
      <c r="Q104" s="193"/>
      <c r="R104" s="1"/>
      <c r="S104" s="1"/>
      <c r="T104" s="66"/>
      <c r="U104" s="1"/>
    </row>
    <row r="105" spans="1:21" ht="15" customHeight="1" x14ac:dyDescent="0.25">
      <c r="B105" s="189"/>
      <c r="C105" s="439" t="s">
        <v>100</v>
      </c>
      <c r="D105" s="440"/>
      <c r="E105" s="440"/>
      <c r="F105" s="440"/>
      <c r="G105" s="440"/>
      <c r="H105" s="441"/>
      <c r="I105" s="196"/>
      <c r="K105" s="302"/>
      <c r="L105" s="439" t="s">
        <v>100</v>
      </c>
      <c r="M105" s="440"/>
      <c r="N105" s="440"/>
      <c r="O105" s="440"/>
      <c r="P105" s="441"/>
      <c r="Q105" s="193"/>
      <c r="R105" s="1"/>
      <c r="S105" s="1"/>
      <c r="T105" s="66"/>
      <c r="U105" s="1"/>
    </row>
    <row r="106" spans="1:21" s="66" customFormat="1" ht="9.75" customHeight="1" x14ac:dyDescent="0.25">
      <c r="B106" s="197"/>
      <c r="C106" s="252"/>
      <c r="D106" s="252"/>
      <c r="E106" s="252"/>
      <c r="F106" s="252"/>
      <c r="G106" s="252"/>
      <c r="H106" s="252"/>
      <c r="I106" s="196"/>
      <c r="K106" s="301"/>
      <c r="L106" s="181"/>
      <c r="M106" s="252"/>
      <c r="N106" s="252"/>
      <c r="O106" s="252"/>
      <c r="P106" s="252"/>
      <c r="Q106" s="192"/>
      <c r="R106" s="67"/>
      <c r="S106" s="67"/>
      <c r="U106" s="67"/>
    </row>
    <row r="107" spans="1:21" ht="15" customHeight="1" x14ac:dyDescent="0.25">
      <c r="B107" s="189"/>
      <c r="C107" s="251" t="s">
        <v>101</v>
      </c>
      <c r="D107" s="251"/>
      <c r="E107" s="180"/>
      <c r="F107" s="190"/>
      <c r="G107" s="190"/>
      <c r="H107" s="190"/>
      <c r="I107" s="196"/>
      <c r="K107" s="302"/>
      <c r="L107" s="251" t="s">
        <v>101</v>
      </c>
      <c r="M107" s="188"/>
      <c r="N107" s="188"/>
      <c r="O107" s="185"/>
      <c r="P107" s="118"/>
      <c r="Q107" s="193"/>
      <c r="R107" s="1"/>
      <c r="S107" s="1"/>
      <c r="T107" s="66"/>
      <c r="U107" s="1"/>
    </row>
    <row r="108" spans="1:21" ht="18" customHeight="1" x14ac:dyDescent="0.25">
      <c r="B108" s="189"/>
      <c r="C108" s="249" t="s">
        <v>99</v>
      </c>
      <c r="D108" s="249"/>
      <c r="E108" s="157"/>
      <c r="F108" s="433"/>
      <c r="G108" s="434"/>
      <c r="H108" s="435"/>
      <c r="I108" s="196"/>
      <c r="K108" s="302"/>
      <c r="L108" s="394" t="s">
        <v>99</v>
      </c>
      <c r="M108" s="394"/>
      <c r="N108" s="395"/>
      <c r="O108" s="463"/>
      <c r="P108" s="463"/>
      <c r="Q108" s="193"/>
      <c r="R108" s="1"/>
      <c r="S108" s="1"/>
      <c r="T108" s="66"/>
      <c r="U108" s="1"/>
    </row>
    <row r="109" spans="1:21" ht="4.5" customHeight="1" x14ac:dyDescent="0.25">
      <c r="B109" s="189"/>
      <c r="C109" s="250"/>
      <c r="D109" s="250"/>
      <c r="E109" s="247"/>
      <c r="F109" s="190"/>
      <c r="G109" s="190"/>
      <c r="H109" s="190"/>
      <c r="I109" s="196"/>
      <c r="K109" s="302"/>
      <c r="L109" s="180"/>
      <c r="M109" s="247"/>
      <c r="N109" s="248"/>
      <c r="O109" s="176"/>
      <c r="P109" s="225"/>
      <c r="Q109" s="193"/>
      <c r="R109" s="1"/>
      <c r="S109" s="1"/>
      <c r="T109" s="66"/>
      <c r="U109" s="1"/>
    </row>
    <row r="110" spans="1:21" ht="29.25" customHeight="1" x14ac:dyDescent="0.25">
      <c r="B110" s="189"/>
      <c r="C110" s="478" t="s">
        <v>124</v>
      </c>
      <c r="D110" s="478"/>
      <c r="E110" s="479"/>
      <c r="F110" s="480" t="str">
        <f>E87</f>
        <v>TBD</v>
      </c>
      <c r="G110" s="481"/>
      <c r="H110" s="482"/>
      <c r="I110" s="196"/>
      <c r="K110" s="302"/>
      <c r="L110" s="394" t="str">
        <f>IF(BT="Personal","(B)Average Monthly Deposits:","(B) Monthly Net Income from P&amp;L/ES (above):")</f>
        <v>(B) Monthly Net Income from P&amp;L/ES (above):</v>
      </c>
      <c r="M110" s="394"/>
      <c r="N110" s="395"/>
      <c r="O110" s="476" t="str">
        <f>IF(BT="Personal",(J65/MosReq),O101)</f>
        <v>TBD</v>
      </c>
      <c r="P110" s="477"/>
      <c r="Q110" s="193"/>
      <c r="R110" s="1"/>
      <c r="S110" s="1"/>
      <c r="T110" s="66"/>
      <c r="U110" s="1"/>
    </row>
    <row r="111" spans="1:21" ht="4.5" customHeight="1" x14ac:dyDescent="0.25">
      <c r="B111" s="189"/>
      <c r="C111" s="176"/>
      <c r="D111" s="176"/>
      <c r="E111" s="176"/>
      <c r="F111" s="190"/>
      <c r="G111" s="190"/>
      <c r="H111" s="190"/>
      <c r="I111" s="196"/>
      <c r="K111" s="302"/>
      <c r="L111" s="176"/>
      <c r="M111" s="185"/>
      <c r="N111" s="185"/>
      <c r="O111" s="176"/>
      <c r="P111" s="225"/>
      <c r="Q111" s="193"/>
      <c r="R111" s="1"/>
      <c r="S111" s="1"/>
      <c r="T111" s="66"/>
      <c r="U111" s="1"/>
    </row>
    <row r="112" spans="1:21" ht="32.25" customHeight="1" x14ac:dyDescent="0.25">
      <c r="B112" s="189"/>
      <c r="D112" s="352"/>
      <c r="E112" s="352" t="s">
        <v>67</v>
      </c>
      <c r="F112" s="485" t="str">
        <f>IF(F108=0,"Please enter 1003 Income",IF(F110=0,"TBD",MIN(F108,F110)))</f>
        <v>Please enter 1003 Income</v>
      </c>
      <c r="G112" s="486"/>
      <c r="H112" s="487"/>
      <c r="I112" s="196"/>
      <c r="K112" s="302"/>
      <c r="L112" s="176"/>
      <c r="M112" s="185"/>
      <c r="N112" s="352" t="s">
        <v>67</v>
      </c>
      <c r="O112" s="483" t="str">
        <f>IF(O108=0,"Please enter 1003 Income",IF(O110=0,"TBD",MIN(O108,O110)))</f>
        <v>Please enter 1003 Income</v>
      </c>
      <c r="P112" s="484"/>
      <c r="Q112" s="193"/>
      <c r="R112" s="1"/>
      <c r="S112" s="1"/>
      <c r="T112" s="66"/>
      <c r="U112" s="1"/>
    </row>
    <row r="113" spans="1:22" ht="15" customHeight="1" x14ac:dyDescent="0.25">
      <c r="B113" s="189"/>
      <c r="C113" s="176"/>
      <c r="D113" s="176"/>
      <c r="E113" s="176"/>
      <c r="F113" s="176"/>
      <c r="G113" s="176"/>
      <c r="H113" s="176"/>
      <c r="I113" s="196"/>
      <c r="K113" s="302"/>
      <c r="L113" s="176"/>
      <c r="M113" s="185"/>
      <c r="N113" s="185"/>
      <c r="O113" s="185"/>
      <c r="P113" s="118"/>
      <c r="Q113" s="193"/>
      <c r="R113" s="1"/>
      <c r="S113" s="1"/>
      <c r="T113" s="66"/>
      <c r="U113" s="1"/>
    </row>
    <row r="114" spans="1:22" ht="15" customHeight="1" x14ac:dyDescent="0.25">
      <c r="B114" s="189"/>
      <c r="C114" s="176"/>
      <c r="D114" s="176"/>
      <c r="E114" s="176"/>
      <c r="F114" s="176"/>
      <c r="G114" s="176"/>
      <c r="H114" s="176"/>
      <c r="I114" s="196"/>
      <c r="K114" s="303"/>
      <c r="L114" s="200"/>
      <c r="M114" s="203"/>
      <c r="N114" s="203"/>
      <c r="O114" s="203"/>
      <c r="P114" s="207"/>
      <c r="Q114" s="304"/>
      <c r="R114" s="1"/>
      <c r="S114" s="1"/>
      <c r="T114" s="66"/>
      <c r="U114" s="1"/>
    </row>
    <row r="115" spans="1:22" x14ac:dyDescent="0.25">
      <c r="B115" s="278"/>
      <c r="C115" s="279"/>
      <c r="D115" s="279"/>
      <c r="E115" s="279"/>
      <c r="F115" s="44"/>
      <c r="G115" s="44"/>
      <c r="H115" s="44"/>
      <c r="I115" s="44"/>
      <c r="J115" s="1"/>
      <c r="K115" s="1"/>
      <c r="L115" s="1"/>
      <c r="M115" s="1"/>
      <c r="N115" s="1"/>
      <c r="O115" s="1"/>
      <c r="P115" s="1"/>
      <c r="Q115" s="208"/>
    </row>
    <row r="116" spans="1:22" ht="26.25" customHeight="1" x14ac:dyDescent="0.25">
      <c r="A116" s="1"/>
      <c r="B116" s="498" t="str">
        <f>IF(BT="Business","REQUIRED: Please describe the business and comment why the expense ratio is deemed reasonable:","REQUIRED: Please describe the business")</f>
        <v>REQUIRED: Please describe the business</v>
      </c>
      <c r="C116" s="499"/>
      <c r="D116" s="499"/>
      <c r="E116" s="499"/>
      <c r="F116" s="499"/>
      <c r="G116" s="499"/>
      <c r="H116" s="499"/>
      <c r="I116" s="499"/>
      <c r="J116" s="499"/>
      <c r="K116" s="499"/>
      <c r="L116" s="499"/>
      <c r="M116" s="499"/>
      <c r="N116" s="499"/>
      <c r="O116" s="499"/>
      <c r="P116" s="499"/>
      <c r="Q116" s="500"/>
      <c r="R116" s="1"/>
      <c r="S116" s="1"/>
      <c r="T116" s="66"/>
      <c r="U116" s="1"/>
    </row>
    <row r="117" spans="1:22" ht="27" customHeight="1" x14ac:dyDescent="0.25">
      <c r="A117" s="1"/>
      <c r="B117" s="204"/>
      <c r="C117" s="501" t="s">
        <v>115</v>
      </c>
      <c r="D117" s="502"/>
      <c r="E117" s="502"/>
      <c r="F117" s="502"/>
      <c r="G117" s="502"/>
      <c r="H117" s="502"/>
      <c r="I117" s="502"/>
      <c r="J117" s="502"/>
      <c r="K117" s="502"/>
      <c r="L117" s="502"/>
      <c r="M117" s="502"/>
      <c r="N117" s="502"/>
      <c r="O117" s="502"/>
      <c r="P117" s="503"/>
      <c r="Q117" s="196"/>
      <c r="R117" s="1"/>
      <c r="S117" s="1"/>
      <c r="T117" s="66"/>
      <c r="U117" s="1"/>
    </row>
    <row r="118" spans="1:22" ht="27" customHeight="1" x14ac:dyDescent="0.25">
      <c r="A118" s="1"/>
      <c r="B118" s="204"/>
      <c r="C118" s="504"/>
      <c r="D118" s="505"/>
      <c r="E118" s="505"/>
      <c r="F118" s="505"/>
      <c r="G118" s="505"/>
      <c r="H118" s="505"/>
      <c r="I118" s="505"/>
      <c r="J118" s="505"/>
      <c r="K118" s="505"/>
      <c r="L118" s="505"/>
      <c r="M118" s="505"/>
      <c r="N118" s="505"/>
      <c r="O118" s="505"/>
      <c r="P118" s="506"/>
      <c r="Q118" s="196"/>
      <c r="R118" s="1"/>
      <c r="S118" s="1"/>
      <c r="T118" s="66"/>
      <c r="U118" s="1"/>
    </row>
    <row r="119" spans="1:22" ht="15.75" customHeight="1" x14ac:dyDescent="0.25">
      <c r="A119" s="1"/>
      <c r="B119" s="204"/>
      <c r="C119" s="277"/>
      <c r="D119" s="277"/>
      <c r="E119" s="277"/>
      <c r="F119" s="277"/>
      <c r="G119" s="276"/>
      <c r="H119" s="276"/>
      <c r="I119" s="276"/>
      <c r="J119" s="276"/>
      <c r="K119" s="276"/>
      <c r="L119" s="276"/>
      <c r="M119" s="276"/>
      <c r="N119" s="276"/>
      <c r="O119" s="276"/>
      <c r="P119" s="276"/>
      <c r="Q119" s="196"/>
      <c r="R119" s="1"/>
      <c r="S119" s="1"/>
      <c r="T119" s="66"/>
      <c r="U119" s="1"/>
    </row>
    <row r="120" spans="1:22" ht="30.75" customHeight="1" thickBot="1" x14ac:dyDescent="0.35">
      <c r="B120" s="189"/>
      <c r="C120" s="475" t="s">
        <v>54</v>
      </c>
      <c r="D120" s="475"/>
      <c r="E120" s="475"/>
      <c r="F120" s="475"/>
      <c r="G120" s="474"/>
      <c r="H120" s="474"/>
      <c r="I120" s="474"/>
      <c r="J120" s="474"/>
      <c r="K120" s="474"/>
      <c r="L120" s="474"/>
      <c r="M120" s="474"/>
      <c r="N120" s="474"/>
      <c r="O120" s="176"/>
      <c r="P120" s="176"/>
      <c r="Q120" s="196"/>
      <c r="R120" s="1"/>
      <c r="S120" s="1"/>
      <c r="T120" s="66"/>
      <c r="U120" s="1"/>
    </row>
    <row r="121" spans="1:22" ht="15" customHeight="1" x14ac:dyDescent="0.3">
      <c r="B121" s="199"/>
      <c r="C121" s="280"/>
      <c r="D121" s="280"/>
      <c r="E121" s="280"/>
      <c r="F121" s="280"/>
      <c r="G121" s="218"/>
      <c r="H121" s="218"/>
      <c r="I121" s="218"/>
      <c r="J121" s="218"/>
      <c r="K121" s="218"/>
      <c r="L121" s="218"/>
      <c r="M121" s="218"/>
      <c r="N121" s="218"/>
      <c r="O121" s="200"/>
      <c r="P121" s="200"/>
      <c r="Q121" s="201"/>
      <c r="R121" s="1"/>
      <c r="S121" s="1"/>
      <c r="T121" s="66"/>
      <c r="U121" s="1"/>
    </row>
    <row r="122" spans="1:22" ht="15" customHeight="1" x14ac:dyDescent="0.25">
      <c r="B122" s="497" t="s">
        <v>88</v>
      </c>
      <c r="C122" s="497"/>
      <c r="D122" s="497"/>
      <c r="E122" s="497"/>
      <c r="F122" s="497"/>
      <c r="G122" s="497"/>
      <c r="H122" s="497"/>
      <c r="I122" s="497"/>
      <c r="J122" s="497"/>
      <c r="K122" s="497"/>
      <c r="L122" s="497"/>
      <c r="M122" s="497"/>
      <c r="N122" s="497"/>
      <c r="O122" s="497"/>
      <c r="P122" s="497"/>
      <c r="Q122" s="497"/>
      <c r="R122" s="206"/>
      <c r="S122" s="206"/>
      <c r="T122" s="206"/>
      <c r="U122" s="206"/>
      <c r="V122" s="206"/>
    </row>
    <row r="123" spans="1:22" ht="136.5" customHeight="1" x14ac:dyDescent="0.25">
      <c r="B123" s="497"/>
      <c r="C123" s="497"/>
      <c r="D123" s="497"/>
      <c r="E123" s="497"/>
      <c r="F123" s="497"/>
      <c r="G123" s="497"/>
      <c r="H123" s="497"/>
      <c r="I123" s="497"/>
      <c r="J123" s="497"/>
      <c r="K123" s="497"/>
      <c r="L123" s="497"/>
      <c r="M123" s="497"/>
      <c r="N123" s="497"/>
      <c r="O123" s="497"/>
      <c r="P123" s="497"/>
      <c r="Q123" s="497"/>
      <c r="R123" s="206"/>
      <c r="S123" s="206"/>
      <c r="T123" s="206"/>
      <c r="U123" s="206"/>
      <c r="V123" s="206"/>
    </row>
  </sheetData>
  <sheetProtection selectLockedCells="1"/>
  <mergeCells count="209">
    <mergeCell ref="B74:I74"/>
    <mergeCell ref="R83:V83"/>
    <mergeCell ref="N11:Q12"/>
    <mergeCell ref="B1:G1"/>
    <mergeCell ref="B2:Q2"/>
    <mergeCell ref="B4:C4"/>
    <mergeCell ref="M4:P4"/>
    <mergeCell ref="M8:P8"/>
    <mergeCell ref="B19:Q19"/>
    <mergeCell ref="B21:C21"/>
    <mergeCell ref="I21:L21"/>
    <mergeCell ref="N21:P21"/>
    <mergeCell ref="J4:L4"/>
    <mergeCell ref="D4:G4"/>
    <mergeCell ref="D6:G6"/>
    <mergeCell ref="D8:G8"/>
    <mergeCell ref="D11:H11"/>
    <mergeCell ref="J6:L6"/>
    <mergeCell ref="M10:P10"/>
    <mergeCell ref="B12:I12"/>
    <mergeCell ref="B13:C13"/>
    <mergeCell ref="C14:I15"/>
    <mergeCell ref="C16:I16"/>
    <mergeCell ref="B10:C11"/>
    <mergeCell ref="B8:C8"/>
    <mergeCell ref="M6:P6"/>
    <mergeCell ref="B6:C7"/>
    <mergeCell ref="J8:L8"/>
    <mergeCell ref="J10:L11"/>
    <mergeCell ref="D10:G10"/>
    <mergeCell ref="J12:L12"/>
    <mergeCell ref="J14:L14"/>
    <mergeCell ref="J16:L16"/>
    <mergeCell ref="M13:Q17"/>
    <mergeCell ref="B23:C23"/>
    <mergeCell ref="I23:L23"/>
    <mergeCell ref="N23:P23"/>
    <mergeCell ref="B25:C25"/>
    <mergeCell ref="I25:L25"/>
    <mergeCell ref="N25:P25"/>
    <mergeCell ref="R25:V26"/>
    <mergeCell ref="R21:V21"/>
    <mergeCell ref="R23:W23"/>
    <mergeCell ref="R34:T36"/>
    <mergeCell ref="N35:P35"/>
    <mergeCell ref="N36:P36"/>
    <mergeCell ref="G27:L27"/>
    <mergeCell ref="C28:P28"/>
    <mergeCell ref="C29:P29"/>
    <mergeCell ref="R29:T33"/>
    <mergeCell ref="C30:C31"/>
    <mergeCell ref="G30:L30"/>
    <mergeCell ref="N30:P31"/>
    <mergeCell ref="N32:P32"/>
    <mergeCell ref="N33:P33"/>
    <mergeCell ref="N34:P34"/>
    <mergeCell ref="N41:P41"/>
    <mergeCell ref="N42:P42"/>
    <mergeCell ref="N43:P43"/>
    <mergeCell ref="N44:P44"/>
    <mergeCell ref="R38:S43"/>
    <mergeCell ref="N39:P39"/>
    <mergeCell ref="N40:P40"/>
    <mergeCell ref="D48:E49"/>
    <mergeCell ref="D44:E44"/>
    <mergeCell ref="G41:K41"/>
    <mergeCell ref="G40:K40"/>
    <mergeCell ref="G39:K39"/>
    <mergeCell ref="G38:K38"/>
    <mergeCell ref="N51:P51"/>
    <mergeCell ref="N52:P52"/>
    <mergeCell ref="R52:T61"/>
    <mergeCell ref="N53:P53"/>
    <mergeCell ref="G56:K56"/>
    <mergeCell ref="G55:K55"/>
    <mergeCell ref="G54:K54"/>
    <mergeCell ref="R47:V48"/>
    <mergeCell ref="C48:C49"/>
    <mergeCell ref="G48:L48"/>
    <mergeCell ref="N48:P49"/>
    <mergeCell ref="N37:P37"/>
    <mergeCell ref="N38:P38"/>
    <mergeCell ref="G53:K53"/>
    <mergeCell ref="G52:K52"/>
    <mergeCell ref="G51:K51"/>
    <mergeCell ref="G50:K50"/>
    <mergeCell ref="G49:K49"/>
    <mergeCell ref="B122:Q123"/>
    <mergeCell ref="O79:P79"/>
    <mergeCell ref="B116:Q116"/>
    <mergeCell ref="C105:H105"/>
    <mergeCell ref="C117:P118"/>
    <mergeCell ref="L87:M87"/>
    <mergeCell ref="B71:Q71"/>
    <mergeCell ref="G73:L73"/>
    <mergeCell ref="B76:I76"/>
    <mergeCell ref="N60:P60"/>
    <mergeCell ref="N61:P61"/>
    <mergeCell ref="N62:P62"/>
    <mergeCell ref="C64:L64"/>
    <mergeCell ref="N57:P57"/>
    <mergeCell ref="N58:P58"/>
    <mergeCell ref="N59:P59"/>
    <mergeCell ref="J65:L65"/>
    <mergeCell ref="C93:D93"/>
    <mergeCell ref="R81:V81"/>
    <mergeCell ref="G120:N120"/>
    <mergeCell ref="C120:F120"/>
    <mergeCell ref="L44:M44"/>
    <mergeCell ref="O108:P108"/>
    <mergeCell ref="F108:H108"/>
    <mergeCell ref="O110:P110"/>
    <mergeCell ref="C110:E110"/>
    <mergeCell ref="F110:H110"/>
    <mergeCell ref="O112:P112"/>
    <mergeCell ref="F112:H112"/>
    <mergeCell ref="F69:G69"/>
    <mergeCell ref="C45:L45"/>
    <mergeCell ref="C47:P47"/>
    <mergeCell ref="G61:K61"/>
    <mergeCell ref="G60:K60"/>
    <mergeCell ref="G59:K59"/>
    <mergeCell ref="G58:K58"/>
    <mergeCell ref="G57:K57"/>
    <mergeCell ref="K76:Q76"/>
    <mergeCell ref="N54:P54"/>
    <mergeCell ref="N55:P55"/>
    <mergeCell ref="R50:T51"/>
    <mergeCell ref="H93:H98"/>
    <mergeCell ref="G93:G98"/>
    <mergeCell ref="G99:G102"/>
    <mergeCell ref="H99:H102"/>
    <mergeCell ref="G91:G92"/>
    <mergeCell ref="H91:H92"/>
    <mergeCell ref="E91:F92"/>
    <mergeCell ref="E93:F98"/>
    <mergeCell ref="E99:F102"/>
    <mergeCell ref="D62:E62"/>
    <mergeCell ref="C100:D102"/>
    <mergeCell ref="C99:D99"/>
    <mergeCell ref="C94:D98"/>
    <mergeCell ref="L79:N79"/>
    <mergeCell ref="D30:E31"/>
    <mergeCell ref="D43:E43"/>
    <mergeCell ref="D42:E42"/>
    <mergeCell ref="D41:E41"/>
    <mergeCell ref="D40:E40"/>
    <mergeCell ref="D39:E39"/>
    <mergeCell ref="D38:E38"/>
    <mergeCell ref="D37:E37"/>
    <mergeCell ref="D36:E36"/>
    <mergeCell ref="D35:E35"/>
    <mergeCell ref="D34:E34"/>
    <mergeCell ref="D33:E33"/>
    <mergeCell ref="D32:E32"/>
    <mergeCell ref="D61:E61"/>
    <mergeCell ref="D60:E60"/>
    <mergeCell ref="D59:E59"/>
    <mergeCell ref="D58:E58"/>
    <mergeCell ref="G43:K43"/>
    <mergeCell ref="G42:K42"/>
    <mergeCell ref="G37:K37"/>
    <mergeCell ref="G36:K36"/>
    <mergeCell ref="G35:K35"/>
    <mergeCell ref="G34:K34"/>
    <mergeCell ref="G33:K33"/>
    <mergeCell ref="G32:K32"/>
    <mergeCell ref="G31:K31"/>
    <mergeCell ref="L105:P105"/>
    <mergeCell ref="L108:N108"/>
    <mergeCell ref="C65:H65"/>
    <mergeCell ref="L103:N103"/>
    <mergeCell ref="O81:P81"/>
    <mergeCell ref="O83:P83"/>
    <mergeCell ref="O85:P85"/>
    <mergeCell ref="D55:E55"/>
    <mergeCell ref="D54:E54"/>
    <mergeCell ref="D53:E53"/>
    <mergeCell ref="D52:E52"/>
    <mergeCell ref="D51:E51"/>
    <mergeCell ref="D50:E50"/>
    <mergeCell ref="D57:E57"/>
    <mergeCell ref="D56:E56"/>
    <mergeCell ref="N56:P56"/>
    <mergeCell ref="N50:P50"/>
    <mergeCell ref="L110:N110"/>
    <mergeCell ref="D21:G21"/>
    <mergeCell ref="D23:G23"/>
    <mergeCell ref="D25:G25"/>
    <mergeCell ref="E85:H85"/>
    <mergeCell ref="E89:H90"/>
    <mergeCell ref="C89:D92"/>
    <mergeCell ref="O87:P87"/>
    <mergeCell ref="O89:P89"/>
    <mergeCell ref="O91:P91"/>
    <mergeCell ref="O93:P93"/>
    <mergeCell ref="O95:P95"/>
    <mergeCell ref="O97:P97"/>
    <mergeCell ref="O99:P99"/>
    <mergeCell ref="O101:P101"/>
    <mergeCell ref="E79:H79"/>
    <mergeCell ref="E81:H81"/>
    <mergeCell ref="E83:H83"/>
    <mergeCell ref="E87:H87"/>
    <mergeCell ref="C81:D82"/>
    <mergeCell ref="C79:D79"/>
    <mergeCell ref="L80:P80"/>
    <mergeCell ref="B75:I75"/>
    <mergeCell ref="O103:P103"/>
  </mergeCells>
  <conditionalFormatting sqref="F68:Q68">
    <cfRule type="expression" dxfId="45" priority="32">
      <formula>#REF!="FHA"</formula>
    </cfRule>
  </conditionalFormatting>
  <conditionalFormatting sqref="R38:T42">
    <cfRule type="expression" dxfId="44" priority="31">
      <formula>$R$38&lt;&gt;""</formula>
    </cfRule>
  </conditionalFormatting>
  <conditionalFormatting sqref="K76:Q102 K103:L103 Q103 O103">
    <cfRule type="expression" dxfId="43" priority="25">
      <formula>$D$21="Personal"</formula>
    </cfRule>
  </conditionalFormatting>
  <conditionalFormatting sqref="G32:G43 L32:L43 G50:G56 L50:L56">
    <cfRule type="expression" dxfId="42" priority="111">
      <formula>$D32=""</formula>
    </cfRule>
  </conditionalFormatting>
  <conditionalFormatting sqref="C28:D28">
    <cfRule type="expression" dxfId="41" priority="112">
      <formula>$D$25=""</formula>
    </cfRule>
  </conditionalFormatting>
  <conditionalFormatting sqref="J14 J16">
    <cfRule type="expression" dxfId="40" priority="113">
      <formula>$J$12="No"</formula>
    </cfRule>
  </conditionalFormatting>
  <conditionalFormatting sqref="K76:Q102 K104:Q114 K103:L103 Q103 O103">
    <cfRule type="expression" dxfId="39" priority="17">
      <formula>$G$73="Expense Factor"</formula>
    </cfRule>
  </conditionalFormatting>
  <conditionalFormatting sqref="G73:L73">
    <cfRule type="expression" dxfId="38" priority="13">
      <formula>$D$21="Personal"</formula>
    </cfRule>
  </conditionalFormatting>
  <conditionalFormatting sqref="O103:P103">
    <cfRule type="expression" dxfId="37" priority="11">
      <formula>$O$103="YES"</formula>
    </cfRule>
    <cfRule type="expression" dxfId="36" priority="12">
      <formula>$O$103="NO"</formula>
    </cfRule>
  </conditionalFormatting>
  <conditionalFormatting sqref="G57:G61 L57:L61">
    <cfRule type="expression" dxfId="35" priority="10">
      <formula>$D57=""</formula>
    </cfRule>
  </conditionalFormatting>
  <conditionalFormatting sqref="B76:I114">
    <cfRule type="expression" dxfId="34" priority="14">
      <formula>$D$8&gt;75</formula>
    </cfRule>
    <cfRule type="expression" dxfId="33" priority="15">
      <formula>AND($D$6&lt;680, $D$6 &gt;0)</formula>
    </cfRule>
    <cfRule type="expression" dxfId="32" priority="16">
      <formula>$D$21="Personal"</formula>
    </cfRule>
    <cfRule type="expression" dxfId="31" priority="23">
      <formula>$G$73="BORROWER PREPARED P&amp;L or EARNINGS SUMMARY (ES)"</formula>
    </cfRule>
  </conditionalFormatting>
  <conditionalFormatting sqref="E93:F98">
    <cfRule type="expression" dxfId="30" priority="9">
      <formula>AND($E$79="offers services",$E$81=0)</formula>
    </cfRule>
  </conditionalFormatting>
  <conditionalFormatting sqref="G93:G98">
    <cfRule type="expression" dxfId="29" priority="8">
      <formula>AND($E$79="offers services",$E$81="1-5")</formula>
    </cfRule>
  </conditionalFormatting>
  <conditionalFormatting sqref="H93:H98">
    <cfRule type="expression" dxfId="28" priority="7">
      <formula>AND($E$79="offers services",$E$81="&gt;5")</formula>
    </cfRule>
  </conditionalFormatting>
  <conditionalFormatting sqref="E99:F102">
    <cfRule type="expression" dxfId="27" priority="5">
      <formula>AND($E$79="both",$E$81=0)</formula>
    </cfRule>
    <cfRule type="expression" dxfId="26" priority="6">
      <formula>AND($E$79="sells goods",$E$81=0)</formula>
    </cfRule>
  </conditionalFormatting>
  <conditionalFormatting sqref="G99:G102">
    <cfRule type="expression" dxfId="25" priority="3">
      <formula>AND($E$79="both",$E$81="1-5")</formula>
    </cfRule>
    <cfRule type="expression" dxfId="24" priority="4">
      <formula>AND($E$79="sells goods",$E$81="1-5")</formula>
    </cfRule>
  </conditionalFormatting>
  <conditionalFormatting sqref="H99:H102">
    <cfRule type="expression" dxfId="23" priority="1">
      <formula>AND($E$79="both",$E$81="&gt;5")</formula>
    </cfRule>
    <cfRule type="expression" dxfId="22" priority="2">
      <formula>AND($E$79="sells goods",$E$81="&gt;5")</formula>
    </cfRule>
  </conditionalFormatting>
  <dataValidations count="5">
    <dataValidation type="decimal" allowBlank="1" showInputMessage="1" showErrorMessage="1" sqref="I10:I11 D10 G9:P9 I8 M11">
      <formula1>0</formula1>
      <formula2>1</formula2>
    </dataValidation>
    <dataValidation type="date" allowBlank="1" showInputMessage="1" showErrorMessage="1" sqref="D25">
      <formula1>1</formula1>
      <formula2>44562</formula2>
    </dataValidation>
    <dataValidation type="list" allowBlank="1" showInputMessage="1" showErrorMessage="1" sqref="N23 N21">
      <formula1>BExpStd</formula1>
    </dataValidation>
    <dataValidation type="whole" allowBlank="1" showInputMessage="1" showErrorMessage="1" sqref="D6:G6">
      <formula1>500</formula1>
      <formula2>1000</formula2>
    </dataValidation>
    <dataValidation type="decimal" allowBlank="1" showInputMessage="1" showErrorMessage="1" sqref="D8:G8">
      <formula1>0</formula1>
      <formula2>90</formula2>
    </dataValidation>
  </dataValidations>
  <pageMargins left="0.2" right="0.2" top="0.25" bottom="0.25" header="0.3" footer="0.3"/>
  <pageSetup paperSize="5" scale="70" fitToHeight="2"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Admin!$E$35:$E$36</xm:f>
          </x14:formula1>
          <xm:sqref>G73:L73</xm:sqref>
        </x14:dataValidation>
        <x14:dataValidation type="list" allowBlank="1" showInputMessage="1" showErrorMessage="1">
          <x14:formula1>
            <xm:f>Admin!$B$30:$B$32</xm:f>
          </x14:formula1>
          <xm:sqref>M8:P8</xm:sqref>
        </x14:dataValidation>
        <x14:dataValidation type="list" allowBlank="1" showInputMessage="1" showErrorMessage="1">
          <x14:formula1>
            <xm:f>Admin!$B$20:$B$22</xm:f>
          </x14:formula1>
          <xm:sqref>M6</xm:sqref>
        </x14:dataValidation>
        <x14:dataValidation type="list" allowBlank="1" showInputMessage="1" showErrorMessage="1">
          <x14:formula1>
            <xm:f>Admin!$B$14:$B$15</xm:f>
          </x14:formula1>
          <xm:sqref>N25 J16 M10 J12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3"/>
  <sheetViews>
    <sheetView showGridLines="0" zoomScale="70" zoomScaleNormal="70" workbookViewId="0">
      <selection activeCell="H21" sqref="H21:I21"/>
    </sheetView>
  </sheetViews>
  <sheetFormatPr defaultRowHeight="15" x14ac:dyDescent="0.25"/>
  <cols>
    <col min="2" max="2" width="2.5703125" customWidth="1"/>
    <col min="6" max="6" width="10.140625" customWidth="1"/>
    <col min="7" max="7" width="12.85546875" customWidth="1"/>
    <col min="8" max="8" width="12.140625" customWidth="1"/>
    <col min="11" max="11" width="3.28515625" customWidth="1"/>
    <col min="12" max="12" width="5.5703125" customWidth="1"/>
    <col min="15" max="15" width="27.85546875" customWidth="1"/>
    <col min="16" max="16" width="2.5703125" customWidth="1"/>
    <col min="20" max="20" width="2.5703125" customWidth="1"/>
  </cols>
  <sheetData>
    <row r="1" spans="1:20" ht="76.5" customHeight="1" x14ac:dyDescent="0.25">
      <c r="A1" s="2"/>
      <c r="B1" s="588" t="s">
        <v>152</v>
      </c>
      <c r="C1" s="588"/>
      <c r="D1" s="588"/>
      <c r="E1" s="588"/>
      <c r="F1" s="588"/>
      <c r="G1" s="588"/>
      <c r="H1" s="588"/>
      <c r="I1" s="183"/>
      <c r="J1" s="183"/>
      <c r="K1" s="183"/>
      <c r="L1" s="183"/>
      <c r="M1" s="2"/>
      <c r="N1" s="2"/>
      <c r="O1" s="2"/>
      <c r="P1" s="2"/>
      <c r="Q1" s="2"/>
      <c r="R1" s="2"/>
      <c r="S1" s="2"/>
    </row>
    <row r="2" spans="1:20" ht="24" thickBot="1" x14ac:dyDescent="0.3">
      <c r="A2" s="2"/>
      <c r="B2" s="590"/>
      <c r="C2" s="591"/>
      <c r="D2" s="591"/>
      <c r="E2" s="591"/>
      <c r="F2" s="591"/>
      <c r="G2" s="591"/>
      <c r="H2" s="591"/>
      <c r="I2" s="591"/>
      <c r="J2" s="591"/>
      <c r="K2" s="591"/>
      <c r="L2" s="591"/>
      <c r="M2" s="591"/>
      <c r="N2" s="591"/>
      <c r="O2" s="591"/>
      <c r="P2" s="591"/>
      <c r="Q2" s="591"/>
      <c r="R2" s="591"/>
      <c r="S2" s="591"/>
      <c r="T2" s="592"/>
    </row>
    <row r="3" spans="1:20" ht="15.75" x14ac:dyDescent="0.25">
      <c r="A3" s="2"/>
      <c r="B3" s="373">
        <v>1</v>
      </c>
      <c r="C3" s="160"/>
      <c r="D3" s="160"/>
      <c r="E3" s="160"/>
      <c r="F3" s="160"/>
      <c r="G3" s="160"/>
      <c r="H3" s="160"/>
      <c r="I3" s="160"/>
      <c r="J3" s="160"/>
      <c r="K3" s="160"/>
      <c r="L3" s="160"/>
      <c r="M3" s="160"/>
      <c r="N3" s="160"/>
      <c r="O3" s="160"/>
      <c r="P3" s="160"/>
      <c r="Q3" s="160"/>
      <c r="R3" s="160"/>
      <c r="S3" s="160"/>
      <c r="T3" s="374"/>
    </row>
    <row r="4" spans="1:20" ht="23.25" customHeight="1" x14ac:dyDescent="0.25">
      <c r="A4" s="2"/>
      <c r="B4" s="373"/>
      <c r="C4" s="160"/>
      <c r="D4" s="575" t="s">
        <v>74</v>
      </c>
      <c r="E4" s="576"/>
      <c r="F4" s="598" t="s">
        <v>158</v>
      </c>
      <c r="G4" s="599"/>
      <c r="H4" s="600"/>
      <c r="I4" s="160"/>
      <c r="J4" s="160"/>
      <c r="K4" s="160"/>
      <c r="L4" s="160"/>
      <c r="M4" s="213" t="s">
        <v>148</v>
      </c>
      <c r="N4" s="160"/>
      <c r="O4" s="160"/>
      <c r="P4" s="160"/>
      <c r="Q4" s="615">
        <v>1</v>
      </c>
      <c r="R4" s="616"/>
      <c r="S4" s="160"/>
      <c r="T4" s="374"/>
    </row>
    <row r="5" spans="1:20" ht="6.75" customHeight="1" x14ac:dyDescent="0.25">
      <c r="A5" s="2"/>
      <c r="B5" s="373"/>
      <c r="C5" s="160"/>
      <c r="D5" s="160"/>
      <c r="E5" s="160"/>
      <c r="F5" s="160"/>
      <c r="G5" s="160"/>
      <c r="H5" s="160"/>
      <c r="I5" s="160"/>
      <c r="J5" s="160"/>
      <c r="K5" s="160"/>
      <c r="L5" s="160"/>
      <c r="M5" s="160"/>
      <c r="N5" s="160"/>
      <c r="O5" s="160"/>
      <c r="P5" s="160"/>
      <c r="Q5" s="160"/>
      <c r="R5" s="160"/>
      <c r="S5" s="160"/>
      <c r="T5" s="374"/>
    </row>
    <row r="6" spans="1:20" ht="15.75" hidden="1" x14ac:dyDescent="0.25">
      <c r="A6" s="2"/>
      <c r="B6" s="373"/>
      <c r="C6" s="176"/>
      <c r="D6" s="575"/>
      <c r="E6" s="576"/>
      <c r="F6" s="598"/>
      <c r="G6" s="599"/>
      <c r="H6" s="600"/>
      <c r="I6" s="160"/>
      <c r="J6" s="160"/>
      <c r="K6" s="160"/>
      <c r="L6" s="160"/>
      <c r="M6" s="160"/>
      <c r="N6" s="160"/>
      <c r="O6" s="160"/>
      <c r="P6" s="160"/>
      <c r="Q6" s="160"/>
      <c r="R6" s="160"/>
      <c r="S6" s="160"/>
      <c r="T6" s="374"/>
    </row>
    <row r="7" spans="1:20" ht="15.75" x14ac:dyDescent="0.25">
      <c r="A7" s="2"/>
      <c r="B7" s="373"/>
      <c r="C7" s="160"/>
      <c r="D7" s="160"/>
      <c r="E7" s="160"/>
      <c r="F7" s="160"/>
      <c r="G7" s="160"/>
      <c r="H7" s="160"/>
      <c r="I7" s="160"/>
      <c r="J7" s="160"/>
      <c r="K7" s="160"/>
      <c r="L7" s="160"/>
      <c r="M7" s="160"/>
      <c r="N7" s="160"/>
      <c r="O7" s="160"/>
      <c r="P7" s="160"/>
      <c r="Q7" s="160"/>
      <c r="R7" s="160"/>
      <c r="S7" s="160"/>
      <c r="T7" s="374"/>
    </row>
    <row r="8" spans="1:20" x14ac:dyDescent="0.25">
      <c r="B8" s="189"/>
      <c r="C8" s="176"/>
      <c r="D8" s="176"/>
      <c r="E8" s="176"/>
      <c r="F8" s="176"/>
      <c r="G8" s="176"/>
      <c r="H8" s="176"/>
      <c r="I8" s="176"/>
      <c r="J8" s="176"/>
      <c r="K8" s="176"/>
      <c r="L8" s="176"/>
      <c r="M8" s="176"/>
      <c r="N8" s="176"/>
      <c r="O8" s="176"/>
      <c r="P8" s="176"/>
      <c r="Q8" s="176"/>
      <c r="R8" s="176"/>
      <c r="S8" s="176"/>
      <c r="T8" s="374"/>
    </row>
    <row r="9" spans="1:20" ht="18.75" x14ac:dyDescent="0.25">
      <c r="B9" s="189"/>
      <c r="C9" s="495" t="s">
        <v>141</v>
      </c>
      <c r="D9" s="495"/>
      <c r="E9" s="495"/>
      <c r="F9" s="495"/>
      <c r="G9" s="495"/>
      <c r="H9" s="495"/>
      <c r="I9" s="495"/>
      <c r="J9" s="495"/>
      <c r="K9" s="176"/>
      <c r="L9" s="495" t="s">
        <v>143</v>
      </c>
      <c r="M9" s="495"/>
      <c r="N9" s="495"/>
      <c r="O9" s="495"/>
      <c r="P9" s="495"/>
      <c r="Q9" s="495"/>
      <c r="R9" s="495"/>
      <c r="S9" s="495"/>
      <c r="T9" s="374"/>
    </row>
    <row r="10" spans="1:20" ht="6.75" customHeight="1" x14ac:dyDescent="0.25">
      <c r="B10" s="189"/>
      <c r="C10" s="367"/>
      <c r="D10" s="368"/>
      <c r="E10" s="368"/>
      <c r="F10" s="368"/>
      <c r="G10" s="368"/>
      <c r="H10" s="368"/>
      <c r="I10" s="368"/>
      <c r="J10" s="369"/>
      <c r="K10" s="176"/>
      <c r="L10" s="367"/>
      <c r="M10" s="368"/>
      <c r="N10" s="368"/>
      <c r="O10" s="368"/>
      <c r="P10" s="368"/>
      <c r="Q10" s="368"/>
      <c r="R10" s="368"/>
      <c r="S10" s="369"/>
      <c r="T10" s="374"/>
    </row>
    <row r="11" spans="1:20" ht="36.75" customHeight="1" x14ac:dyDescent="0.25">
      <c r="B11" s="189"/>
      <c r="C11" s="367"/>
      <c r="D11" s="621" t="s">
        <v>142</v>
      </c>
      <c r="E11" s="621"/>
      <c r="F11" s="621"/>
      <c r="G11" s="245"/>
      <c r="H11" s="603"/>
      <c r="I11" s="604"/>
      <c r="J11" s="369"/>
      <c r="K11" s="176"/>
      <c r="L11" s="367"/>
      <c r="M11" s="617" t="s">
        <v>145</v>
      </c>
      <c r="N11" s="617"/>
      <c r="O11" s="617"/>
      <c r="P11" s="371"/>
      <c r="Q11" s="603">
        <v>80000</v>
      </c>
      <c r="R11" s="604"/>
      <c r="S11" s="369"/>
      <c r="T11" s="374"/>
    </row>
    <row r="12" spans="1:20" ht="6.75" customHeight="1" x14ac:dyDescent="0.25">
      <c r="B12" s="189"/>
      <c r="C12" s="367"/>
      <c r="D12" s="366"/>
      <c r="E12" s="366"/>
      <c r="F12" s="366"/>
      <c r="G12" s="366"/>
      <c r="H12" s="366"/>
      <c r="I12" s="366"/>
      <c r="J12" s="369"/>
      <c r="K12" s="176"/>
      <c r="L12" s="367"/>
      <c r="M12" s="370"/>
      <c r="N12" s="370"/>
      <c r="O12" s="370"/>
      <c r="P12" s="370"/>
      <c r="Q12" s="370"/>
      <c r="R12" s="370"/>
      <c r="S12" s="369"/>
      <c r="T12" s="374"/>
    </row>
    <row r="13" spans="1:20" ht="47.25" customHeight="1" x14ac:dyDescent="0.25">
      <c r="B13" s="189"/>
      <c r="C13" s="367"/>
      <c r="D13" s="593" t="s">
        <v>144</v>
      </c>
      <c r="E13" s="593"/>
      <c r="F13" s="593"/>
      <c r="G13" s="593"/>
      <c r="H13" s="603"/>
      <c r="I13" s="604"/>
      <c r="J13" s="369"/>
      <c r="K13" s="176"/>
      <c r="L13" s="367"/>
      <c r="M13" s="617" t="s">
        <v>146</v>
      </c>
      <c r="N13" s="617"/>
      <c r="O13" s="617"/>
      <c r="P13" s="371"/>
      <c r="Q13" s="603">
        <v>80000</v>
      </c>
      <c r="R13" s="604"/>
      <c r="S13" s="369"/>
      <c r="T13" s="374"/>
    </row>
    <row r="14" spans="1:20" ht="18.75" x14ac:dyDescent="0.25">
      <c r="B14" s="189"/>
      <c r="C14" s="367"/>
      <c r="D14" s="593"/>
      <c r="E14" s="593"/>
      <c r="F14" s="593"/>
      <c r="G14" s="593"/>
      <c r="H14" s="293"/>
      <c r="I14" s="290"/>
      <c r="J14" s="369"/>
      <c r="K14" s="176"/>
      <c r="L14" s="367"/>
      <c r="M14" s="371"/>
      <c r="N14" s="371"/>
      <c r="O14" s="371"/>
      <c r="P14" s="371"/>
      <c r="Q14" s="365"/>
      <c r="R14" s="365"/>
      <c r="S14" s="369"/>
      <c r="T14" s="374"/>
    </row>
    <row r="15" spans="1:20" ht="15.75" x14ac:dyDescent="0.25">
      <c r="B15" s="189"/>
      <c r="C15" s="301"/>
      <c r="D15" s="605" t="s">
        <v>100</v>
      </c>
      <c r="E15" s="606"/>
      <c r="F15" s="606"/>
      <c r="G15" s="606"/>
      <c r="H15" s="606"/>
      <c r="I15" s="607"/>
      <c r="J15" s="191"/>
      <c r="K15" s="176"/>
      <c r="L15" s="301"/>
      <c r="M15" s="605" t="s">
        <v>157</v>
      </c>
      <c r="N15" s="606"/>
      <c r="O15" s="606"/>
      <c r="P15" s="606"/>
      <c r="Q15" s="606"/>
      <c r="R15" s="607"/>
      <c r="S15" s="191"/>
      <c r="T15" s="374"/>
    </row>
    <row r="16" spans="1:20" ht="5.25" customHeight="1" x14ac:dyDescent="0.25">
      <c r="B16" s="189"/>
      <c r="C16" s="302"/>
      <c r="D16" s="181"/>
      <c r="E16" s="252"/>
      <c r="F16" s="252"/>
      <c r="G16" s="252"/>
      <c r="H16" s="252"/>
      <c r="I16" s="252"/>
      <c r="J16" s="222"/>
      <c r="K16" s="176"/>
      <c r="L16" s="302"/>
      <c r="M16" s="176"/>
      <c r="N16" s="176"/>
      <c r="O16" s="176"/>
      <c r="P16" s="176"/>
      <c r="Q16" s="176"/>
      <c r="R16" s="176"/>
      <c r="S16" s="222"/>
      <c r="T16" s="374"/>
    </row>
    <row r="17" spans="2:20" ht="23.25" customHeight="1" x14ac:dyDescent="0.25">
      <c r="B17" s="189"/>
      <c r="C17" s="302"/>
      <c r="D17" s="251" t="s">
        <v>101</v>
      </c>
      <c r="E17" s="176"/>
      <c r="F17" s="176"/>
      <c r="G17" s="176"/>
      <c r="H17" s="176"/>
      <c r="I17" s="176"/>
      <c r="J17" s="222"/>
      <c r="K17" s="176"/>
      <c r="L17" s="302"/>
      <c r="M17" s="624" t="s">
        <v>156</v>
      </c>
      <c r="N17" s="624"/>
      <c r="O17" s="624"/>
      <c r="P17" s="181"/>
      <c r="Q17" s="622">
        <v>8</v>
      </c>
      <c r="R17" s="623"/>
      <c r="S17" s="222"/>
      <c r="T17" s="374"/>
    </row>
    <row r="18" spans="2:20" ht="5.25" customHeight="1" x14ac:dyDescent="0.25">
      <c r="B18" s="189"/>
      <c r="C18" s="302"/>
      <c r="D18" s="176"/>
      <c r="E18" s="188"/>
      <c r="F18" s="188"/>
      <c r="G18" s="188"/>
      <c r="H18" s="185"/>
      <c r="I18" s="118"/>
      <c r="J18" s="222"/>
      <c r="K18" s="176"/>
      <c r="L18" s="302"/>
      <c r="M18" s="176"/>
      <c r="N18" s="176"/>
      <c r="O18" s="176"/>
      <c r="P18" s="176"/>
      <c r="Q18" s="176"/>
      <c r="R18" s="176"/>
      <c r="S18" s="222"/>
      <c r="T18" s="374"/>
    </row>
    <row r="19" spans="2:20" ht="15.75" customHeight="1" x14ac:dyDescent="0.25">
      <c r="B19" s="189"/>
      <c r="C19" s="302"/>
      <c r="D19" s="347" t="s">
        <v>150</v>
      </c>
      <c r="E19" s="347"/>
      <c r="F19" s="347"/>
      <c r="G19" s="348"/>
      <c r="H19" s="603"/>
      <c r="I19" s="604"/>
      <c r="J19" s="221"/>
      <c r="K19" s="176"/>
      <c r="L19" s="620" t="s">
        <v>135</v>
      </c>
      <c r="M19" s="552"/>
      <c r="N19" s="552"/>
      <c r="O19" s="552"/>
      <c r="P19" s="372"/>
      <c r="Q19" s="603">
        <v>124000</v>
      </c>
      <c r="R19" s="604"/>
      <c r="S19" s="221"/>
      <c r="T19" s="374"/>
    </row>
    <row r="20" spans="2:20" ht="24.75" customHeight="1" x14ac:dyDescent="0.25">
      <c r="B20" s="189"/>
      <c r="C20" s="302"/>
      <c r="D20" s="180"/>
      <c r="E20" s="247"/>
      <c r="F20" s="248"/>
      <c r="G20" s="248"/>
      <c r="H20" s="176"/>
      <c r="I20" s="225"/>
      <c r="J20" s="221"/>
      <c r="K20" s="176"/>
      <c r="L20" s="618" t="s">
        <v>136</v>
      </c>
      <c r="M20" s="619"/>
      <c r="N20" s="619"/>
      <c r="O20" s="619"/>
      <c r="P20" s="619"/>
      <c r="Q20" s="619"/>
      <c r="R20" s="619"/>
      <c r="S20" s="221"/>
      <c r="T20" s="374"/>
    </row>
    <row r="21" spans="2:20" ht="24" customHeight="1" x14ac:dyDescent="0.3">
      <c r="B21" s="189"/>
      <c r="C21" s="302"/>
      <c r="D21" s="394" t="s">
        <v>151</v>
      </c>
      <c r="E21" s="394"/>
      <c r="F21" s="394"/>
      <c r="G21" s="395"/>
      <c r="H21" s="601" t="str">
        <f>IFERROR(IF(BT="Personal",(#REF!/MosReq),H41),"TBD")</f>
        <v>TBD</v>
      </c>
      <c r="I21" s="602"/>
      <c r="J21" s="223"/>
      <c r="K21" s="176"/>
      <c r="L21" s="302"/>
      <c r="M21" s="306" t="s">
        <v>0</v>
      </c>
      <c r="N21" s="307"/>
      <c r="O21" s="297"/>
      <c r="P21" s="297"/>
      <c r="Q21" s="413">
        <v>30000</v>
      </c>
      <c r="R21" s="414"/>
      <c r="S21" s="223"/>
      <c r="T21" s="374"/>
    </row>
    <row r="22" spans="2:20" ht="7.5" customHeight="1" x14ac:dyDescent="0.3">
      <c r="B22" s="189"/>
      <c r="C22" s="302"/>
      <c r="D22" s="176"/>
      <c r="E22" s="185"/>
      <c r="F22" s="185"/>
      <c r="G22" s="185"/>
      <c r="H22" s="176"/>
      <c r="I22" s="225"/>
      <c r="J22" s="223"/>
      <c r="K22" s="176"/>
      <c r="L22" s="302"/>
      <c r="M22" s="308"/>
      <c r="N22" s="306"/>
      <c r="O22" s="283"/>
      <c r="P22" s="283"/>
      <c r="Q22" s="185"/>
      <c r="R22" s="290"/>
      <c r="S22" s="223"/>
      <c r="T22" s="374"/>
    </row>
    <row r="23" spans="2:20" ht="21" x14ac:dyDescent="0.3">
      <c r="B23" s="189"/>
      <c r="C23" s="302"/>
      <c r="D23" s="176"/>
      <c r="E23" s="185"/>
      <c r="F23" s="352" t="s">
        <v>67</v>
      </c>
      <c r="G23" s="352"/>
      <c r="H23" s="608" t="str">
        <f>IF(H19=0,"TBD",IF(H21=0,"TBD",MIN(H19,H21)))</f>
        <v>TBD</v>
      </c>
      <c r="I23" s="609"/>
      <c r="J23" s="223"/>
      <c r="K23" s="176"/>
      <c r="L23" s="302"/>
      <c r="M23" s="213" t="s">
        <v>1</v>
      </c>
      <c r="N23" s="307"/>
      <c r="O23" s="169"/>
      <c r="P23" s="169"/>
      <c r="Q23" s="413">
        <v>12000</v>
      </c>
      <c r="R23" s="414"/>
      <c r="S23" s="223"/>
      <c r="T23" s="374"/>
    </row>
    <row r="24" spans="2:20" ht="7.5" customHeight="1" x14ac:dyDescent="0.3">
      <c r="B24" s="189"/>
      <c r="C24" s="302"/>
      <c r="D24" s="362"/>
      <c r="E24" s="213"/>
      <c r="F24" s="285"/>
      <c r="G24" s="285"/>
      <c r="H24" s="293"/>
      <c r="I24" s="290"/>
      <c r="J24" s="223"/>
      <c r="K24" s="176"/>
      <c r="L24" s="302"/>
      <c r="M24" s="308"/>
      <c r="N24" s="213"/>
      <c r="O24" s="285"/>
      <c r="P24" s="285"/>
      <c r="Q24" s="185"/>
      <c r="R24" s="290"/>
      <c r="S24" s="223"/>
      <c r="T24" s="374"/>
    </row>
    <row r="25" spans="2:20" ht="18.75" x14ac:dyDescent="0.3">
      <c r="B25" s="189"/>
      <c r="C25" s="302"/>
      <c r="D25" s="345"/>
      <c r="E25" s="310"/>
      <c r="F25" s="361"/>
      <c r="G25" s="361"/>
      <c r="H25" s="613"/>
      <c r="I25" s="613"/>
      <c r="J25" s="223"/>
      <c r="K25" s="176"/>
      <c r="L25" s="302"/>
      <c r="M25" s="306" t="s">
        <v>34</v>
      </c>
      <c r="N25" s="307"/>
      <c r="O25" s="297"/>
      <c r="P25" s="297"/>
      <c r="Q25" s="413">
        <v>12000</v>
      </c>
      <c r="R25" s="414"/>
      <c r="S25" s="223"/>
      <c r="T25" s="374"/>
    </row>
    <row r="26" spans="2:20" ht="7.5" customHeight="1" x14ac:dyDescent="0.3">
      <c r="B26" s="189"/>
      <c r="C26" s="302"/>
      <c r="D26" s="362"/>
      <c r="E26" s="345"/>
      <c r="F26" s="284"/>
      <c r="G26" s="284"/>
      <c r="H26" s="293"/>
      <c r="I26" s="290"/>
      <c r="J26" s="223"/>
      <c r="K26" s="176"/>
      <c r="L26" s="302"/>
      <c r="M26" s="308"/>
      <c r="N26" s="306"/>
      <c r="O26" s="283"/>
      <c r="P26" s="283"/>
      <c r="Q26" s="185"/>
      <c r="R26" s="290"/>
      <c r="S26" s="223"/>
      <c r="T26" s="374"/>
    </row>
    <row r="27" spans="2:20" ht="18.75" x14ac:dyDescent="0.3">
      <c r="B27" s="189"/>
      <c r="C27" s="302"/>
      <c r="D27" s="345"/>
      <c r="E27" s="345"/>
      <c r="F27" s="284"/>
      <c r="G27" s="284"/>
      <c r="H27" s="290"/>
      <c r="I27" s="290"/>
      <c r="J27" s="223"/>
      <c r="K27" s="176"/>
      <c r="L27" s="302"/>
      <c r="M27" s="345" t="s">
        <v>43</v>
      </c>
      <c r="N27" s="345"/>
      <c r="O27" s="283"/>
      <c r="P27" s="283"/>
      <c r="Q27" s="343"/>
      <c r="R27" s="344"/>
      <c r="S27" s="223"/>
      <c r="T27" s="374"/>
    </row>
    <row r="28" spans="2:20" ht="7.5" customHeight="1" x14ac:dyDescent="0.3">
      <c r="B28" s="189"/>
      <c r="C28" s="302"/>
      <c r="D28" s="362"/>
      <c r="E28" s="345"/>
      <c r="F28" s="284"/>
      <c r="G28" s="284"/>
      <c r="H28" s="293"/>
      <c r="I28" s="290"/>
      <c r="J28" s="223"/>
      <c r="K28" s="176"/>
      <c r="L28" s="302"/>
      <c r="M28" s="308"/>
      <c r="N28" s="306"/>
      <c r="O28" s="283"/>
      <c r="P28" s="283"/>
      <c r="Q28" s="185"/>
      <c r="R28" s="290"/>
      <c r="S28" s="223"/>
      <c r="T28" s="374"/>
    </row>
    <row r="29" spans="2:20" ht="18.75" x14ac:dyDescent="0.3">
      <c r="B29" s="189"/>
      <c r="C29" s="302"/>
      <c r="D29" s="345"/>
      <c r="E29" s="310"/>
      <c r="F29" s="294"/>
      <c r="G29" s="294"/>
      <c r="H29" s="614"/>
      <c r="I29" s="614"/>
      <c r="J29" s="223"/>
      <c r="K29" s="176"/>
      <c r="L29" s="302"/>
      <c r="M29" s="309" t="s">
        <v>123</v>
      </c>
      <c r="N29" s="359"/>
      <c r="O29" s="360"/>
      <c r="P29" s="294"/>
      <c r="Q29" s="594"/>
      <c r="R29" s="595"/>
      <c r="S29" s="223"/>
      <c r="T29" s="374"/>
    </row>
    <row r="30" spans="2:20" ht="7.5" customHeight="1" x14ac:dyDescent="0.3">
      <c r="B30" s="189"/>
      <c r="C30" s="302"/>
      <c r="D30" s="345"/>
      <c r="E30" s="345"/>
      <c r="F30" s="284"/>
      <c r="G30" s="284"/>
      <c r="H30" s="293"/>
      <c r="I30" s="290"/>
      <c r="J30" s="223"/>
      <c r="K30" s="176"/>
      <c r="L30" s="302"/>
      <c r="M30" s="345"/>
      <c r="N30" s="345"/>
      <c r="O30" s="284"/>
      <c r="P30" s="284"/>
      <c r="Q30" s="185"/>
      <c r="R30" s="290"/>
      <c r="S30" s="223"/>
      <c r="T30" s="374"/>
    </row>
    <row r="31" spans="2:20" ht="18.75" x14ac:dyDescent="0.3">
      <c r="B31" s="189"/>
      <c r="C31" s="302"/>
      <c r="D31" s="345"/>
      <c r="E31" s="345"/>
      <c r="F31" s="294"/>
      <c r="G31" s="294"/>
      <c r="H31" s="614"/>
      <c r="I31" s="614"/>
      <c r="J31" s="223"/>
      <c r="K31" s="176"/>
      <c r="L31" s="302"/>
      <c r="M31" s="309" t="s">
        <v>123</v>
      </c>
      <c r="N31" s="309"/>
      <c r="O31" s="360"/>
      <c r="P31" s="294"/>
      <c r="Q31" s="594"/>
      <c r="R31" s="595"/>
      <c r="S31" s="223"/>
      <c r="T31" s="374"/>
    </row>
    <row r="32" spans="2:20" ht="7.5" customHeight="1" x14ac:dyDescent="0.3">
      <c r="B32" s="189"/>
      <c r="C32" s="302"/>
      <c r="D32" s="345"/>
      <c r="E32" s="345"/>
      <c r="F32" s="294"/>
      <c r="G32" s="294"/>
      <c r="H32" s="293"/>
      <c r="I32" s="290"/>
      <c r="J32" s="223"/>
      <c r="K32" s="176"/>
      <c r="L32" s="302"/>
      <c r="M32" s="345"/>
      <c r="N32" s="345"/>
      <c r="O32" s="294"/>
      <c r="P32" s="294"/>
      <c r="Q32" s="185"/>
      <c r="R32" s="290"/>
      <c r="S32" s="223"/>
      <c r="T32" s="374"/>
    </row>
    <row r="33" spans="2:20" ht="18.75" x14ac:dyDescent="0.3">
      <c r="B33" s="189"/>
      <c r="C33" s="302"/>
      <c r="D33" s="345"/>
      <c r="E33" s="345"/>
      <c r="F33" s="294"/>
      <c r="G33" s="294"/>
      <c r="H33" s="614"/>
      <c r="I33" s="614"/>
      <c r="J33" s="223"/>
      <c r="K33" s="176"/>
      <c r="L33" s="302"/>
      <c r="M33" s="309" t="s">
        <v>123</v>
      </c>
      <c r="N33" s="309"/>
      <c r="O33" s="360"/>
      <c r="P33" s="294"/>
      <c r="Q33" s="594"/>
      <c r="R33" s="595"/>
      <c r="S33" s="223"/>
      <c r="T33" s="374"/>
    </row>
    <row r="34" spans="2:20" ht="7.5" customHeight="1" x14ac:dyDescent="0.3">
      <c r="B34" s="189"/>
      <c r="C34" s="302"/>
      <c r="D34" s="181"/>
      <c r="E34" s="186"/>
      <c r="F34" s="294"/>
      <c r="G34" s="294"/>
      <c r="H34" s="293"/>
      <c r="I34" s="290"/>
      <c r="J34" s="223"/>
      <c r="K34" s="176"/>
      <c r="L34" s="302"/>
      <c r="M34" s="176"/>
      <c r="N34" s="186"/>
      <c r="O34" s="294"/>
      <c r="P34" s="294"/>
      <c r="Q34" s="293"/>
      <c r="R34" s="290"/>
      <c r="S34" s="223"/>
      <c r="T34" s="374"/>
    </row>
    <row r="35" spans="2:20" ht="18.75" x14ac:dyDescent="0.3">
      <c r="B35" s="189"/>
      <c r="C35" s="302"/>
      <c r="D35" s="181"/>
      <c r="E35" s="293"/>
      <c r="F35" s="232"/>
      <c r="G35" s="232"/>
      <c r="H35" s="589"/>
      <c r="I35" s="589"/>
      <c r="J35" s="223"/>
      <c r="K35" s="176"/>
      <c r="L35" s="302"/>
      <c r="M35" s="176"/>
      <c r="N35" s="185"/>
      <c r="O35" s="232" t="s">
        <v>7</v>
      </c>
      <c r="P35" s="232"/>
      <c r="Q35" s="596">
        <f>SUM(Q21:R33)</f>
        <v>54000</v>
      </c>
      <c r="R35" s="597"/>
      <c r="S35" s="223"/>
      <c r="T35" s="374"/>
    </row>
    <row r="36" spans="2:20" ht="4.5" customHeight="1" x14ac:dyDescent="0.3">
      <c r="B36" s="189"/>
      <c r="C36" s="302"/>
      <c r="D36" s="181"/>
      <c r="E36" s="186"/>
      <c r="F36" s="294"/>
      <c r="G36" s="294"/>
      <c r="H36" s="354"/>
      <c r="I36" s="290"/>
      <c r="J36" s="223"/>
      <c r="K36" s="176"/>
      <c r="L36" s="302"/>
      <c r="M36" s="176"/>
      <c r="N36" s="186"/>
      <c r="O36" s="294"/>
      <c r="P36" s="294"/>
      <c r="Q36" s="354"/>
      <c r="R36" s="290"/>
      <c r="S36" s="223"/>
      <c r="T36" s="374"/>
    </row>
    <row r="37" spans="2:20" ht="18.75" x14ac:dyDescent="0.25">
      <c r="B37" s="189"/>
      <c r="C37" s="302"/>
      <c r="D37" s="67"/>
      <c r="E37" s="67"/>
      <c r="F37" s="232"/>
      <c r="G37" s="232"/>
      <c r="H37" s="589"/>
      <c r="I37" s="589"/>
      <c r="J37" s="192"/>
      <c r="K37" s="176"/>
      <c r="L37" s="302"/>
      <c r="M37" s="1"/>
      <c r="N37" s="1"/>
      <c r="O37" s="232" t="s">
        <v>26</v>
      </c>
      <c r="P37" s="232"/>
      <c r="Q37" s="596">
        <f>Q19-Q35</f>
        <v>70000</v>
      </c>
      <c r="R37" s="597"/>
      <c r="S37" s="192"/>
      <c r="T37" s="374"/>
    </row>
    <row r="38" spans="2:20" ht="4.5" customHeight="1" x14ac:dyDescent="0.25">
      <c r="B38" s="189"/>
      <c r="C38" s="302"/>
      <c r="D38" s="181"/>
      <c r="E38" s="293"/>
      <c r="F38" s="232"/>
      <c r="G38" s="232"/>
      <c r="H38" s="354"/>
      <c r="I38" s="356"/>
      <c r="J38" s="192"/>
      <c r="K38" s="176"/>
      <c r="L38" s="302"/>
      <c r="M38" s="176"/>
      <c r="N38" s="185"/>
      <c r="O38" s="232"/>
      <c r="P38" s="232"/>
      <c r="Q38" s="355"/>
      <c r="R38" s="356"/>
      <c r="S38" s="192"/>
      <c r="T38" s="374"/>
    </row>
    <row r="39" spans="2:20" ht="18.75" x14ac:dyDescent="0.25">
      <c r="B39" s="189"/>
      <c r="C39" s="302"/>
      <c r="D39" s="181"/>
      <c r="E39" s="293"/>
      <c r="F39" s="232"/>
      <c r="G39" s="232"/>
      <c r="H39" s="589"/>
      <c r="I39" s="589"/>
      <c r="J39" s="192"/>
      <c r="K39" s="176"/>
      <c r="L39" s="302"/>
      <c r="M39" s="176"/>
      <c r="N39" s="185"/>
      <c r="O39" s="232" t="s">
        <v>114</v>
      </c>
      <c r="P39" s="232"/>
      <c r="Q39" s="596">
        <f>Q37*Q4</f>
        <v>70000</v>
      </c>
      <c r="R39" s="597"/>
      <c r="S39" s="192"/>
      <c r="T39" s="374"/>
    </row>
    <row r="40" spans="2:20" ht="4.5" customHeight="1" x14ac:dyDescent="0.25">
      <c r="B40" s="189"/>
      <c r="C40" s="302"/>
      <c r="D40" s="181"/>
      <c r="E40" s="293"/>
      <c r="F40" s="363"/>
      <c r="G40" s="363"/>
      <c r="H40" s="293"/>
      <c r="I40" s="299"/>
      <c r="J40" s="192"/>
      <c r="K40" s="176"/>
      <c r="L40" s="302"/>
      <c r="M40" s="176"/>
      <c r="N40" s="185"/>
      <c r="O40" s="188"/>
      <c r="P40" s="188"/>
      <c r="Q40" s="185"/>
      <c r="R40" s="244"/>
      <c r="S40" s="192"/>
      <c r="T40" s="374"/>
    </row>
    <row r="41" spans="2:20" ht="18.75" x14ac:dyDescent="0.25">
      <c r="B41" s="189"/>
      <c r="C41" s="302"/>
      <c r="D41" s="349"/>
      <c r="E41" s="67"/>
      <c r="F41" s="364"/>
      <c r="G41" s="364"/>
      <c r="H41" s="612"/>
      <c r="I41" s="612"/>
      <c r="J41" s="192"/>
      <c r="K41" s="176"/>
      <c r="L41" s="302"/>
      <c r="M41" s="349"/>
      <c r="N41" s="1"/>
      <c r="O41" s="248" t="s">
        <v>59</v>
      </c>
      <c r="P41" s="248"/>
      <c r="Q41" s="625">
        <f>IFERROR(Q39/Q17,"TBD")</f>
        <v>8750</v>
      </c>
      <c r="R41" s="626"/>
      <c r="S41" s="192"/>
      <c r="T41" s="374"/>
    </row>
    <row r="42" spans="2:20" ht="12" customHeight="1" x14ac:dyDescent="0.25">
      <c r="B42" s="189"/>
      <c r="C42" s="302"/>
      <c r="D42" s="181"/>
      <c r="E42" s="293"/>
      <c r="F42" s="363"/>
      <c r="G42" s="363"/>
      <c r="H42" s="293"/>
      <c r="I42" s="299"/>
      <c r="J42" s="192"/>
      <c r="K42" s="176"/>
      <c r="L42" s="302"/>
      <c r="M42" s="176"/>
      <c r="N42" s="185"/>
      <c r="O42" s="188"/>
      <c r="P42" s="188"/>
      <c r="Q42" s="185"/>
      <c r="R42" s="300"/>
      <c r="S42" s="192"/>
      <c r="T42" s="374"/>
    </row>
    <row r="43" spans="2:20" ht="18.75" x14ac:dyDescent="0.25">
      <c r="B43" s="189"/>
      <c r="C43" s="302"/>
      <c r="D43" s="176"/>
      <c r="E43" s="176"/>
      <c r="F43" s="176"/>
      <c r="G43" s="176"/>
      <c r="H43" s="176"/>
      <c r="I43" s="176"/>
      <c r="J43" s="193"/>
      <c r="K43" s="176"/>
      <c r="L43" s="302"/>
      <c r="M43" s="605" t="s">
        <v>100</v>
      </c>
      <c r="N43" s="606"/>
      <c r="O43" s="606"/>
      <c r="P43" s="606"/>
      <c r="Q43" s="606"/>
      <c r="R43" s="607"/>
      <c r="S43" s="193"/>
      <c r="T43" s="374"/>
    </row>
    <row r="44" spans="2:20" ht="4.5" customHeight="1" x14ac:dyDescent="0.25">
      <c r="B44" s="189"/>
      <c r="C44" s="301"/>
      <c r="D44" s="176"/>
      <c r="E44" s="176"/>
      <c r="F44" s="176"/>
      <c r="G44" s="176"/>
      <c r="H44" s="176"/>
      <c r="I44" s="176"/>
      <c r="J44" s="192"/>
      <c r="K44" s="176"/>
      <c r="L44" s="301"/>
      <c r="M44" s="181"/>
      <c r="N44" s="252"/>
      <c r="O44" s="252"/>
      <c r="P44" s="252"/>
      <c r="Q44" s="252"/>
      <c r="R44" s="252"/>
      <c r="S44" s="192"/>
      <c r="T44" s="374"/>
    </row>
    <row r="45" spans="2:20" ht="18.75" x14ac:dyDescent="0.25">
      <c r="B45" s="189"/>
      <c r="C45" s="302"/>
      <c r="D45" s="176"/>
      <c r="E45" s="176"/>
      <c r="F45" s="176"/>
      <c r="G45" s="176"/>
      <c r="H45" s="176"/>
      <c r="I45" s="176"/>
      <c r="J45" s="193"/>
      <c r="K45" s="176"/>
      <c r="L45" s="302"/>
      <c r="M45" s="251" t="s">
        <v>101</v>
      </c>
      <c r="N45" s="188"/>
      <c r="O45" s="188"/>
      <c r="P45" s="188"/>
      <c r="Q45" s="185"/>
      <c r="R45" s="118"/>
      <c r="S45" s="193"/>
      <c r="T45" s="374"/>
    </row>
    <row r="46" spans="2:20" ht="36.75" customHeight="1" x14ac:dyDescent="0.25">
      <c r="B46" s="189"/>
      <c r="C46" s="302"/>
      <c r="D46" s="176"/>
      <c r="E46" s="176"/>
      <c r="F46" s="176"/>
      <c r="G46" s="176"/>
      <c r="H46" s="176"/>
      <c r="I46" s="176"/>
      <c r="J46" s="193"/>
      <c r="K46" s="176"/>
      <c r="L46" s="302"/>
      <c r="M46" s="478" t="s">
        <v>147</v>
      </c>
      <c r="N46" s="478"/>
      <c r="O46" s="478"/>
      <c r="P46" s="346"/>
      <c r="Q46" s="610">
        <f>IFERROR(AVERAGE(Q11,Q41),"TBD")</f>
        <v>44375</v>
      </c>
      <c r="R46" s="611"/>
      <c r="S46" s="193"/>
      <c r="T46" s="374"/>
    </row>
    <row r="47" spans="2:20" ht="6" customHeight="1" x14ac:dyDescent="0.25">
      <c r="B47" s="189"/>
      <c r="C47" s="302"/>
      <c r="D47" s="176"/>
      <c r="E47" s="176"/>
      <c r="F47" s="176"/>
      <c r="G47" s="176"/>
      <c r="H47" s="176"/>
      <c r="I47" s="176"/>
      <c r="J47" s="193"/>
      <c r="K47" s="176"/>
      <c r="L47" s="302"/>
      <c r="M47" s="180"/>
      <c r="N47" s="247"/>
      <c r="O47" s="248"/>
      <c r="P47" s="248"/>
      <c r="Q47" s="176"/>
      <c r="R47" s="225"/>
      <c r="S47" s="193"/>
      <c r="T47" s="374"/>
    </row>
    <row r="48" spans="2:20" ht="24" customHeight="1" x14ac:dyDescent="0.25">
      <c r="B48" s="189"/>
      <c r="C48" s="302"/>
      <c r="D48" s="176"/>
      <c r="E48" s="176"/>
      <c r="F48" s="176"/>
      <c r="G48" s="176"/>
      <c r="H48" s="176"/>
      <c r="I48" s="176"/>
      <c r="J48" s="193"/>
      <c r="K48" s="176"/>
      <c r="L48" s="302"/>
      <c r="M48" s="478" t="s">
        <v>149</v>
      </c>
      <c r="N48" s="478"/>
      <c r="O48" s="478"/>
      <c r="P48" s="478"/>
      <c r="Q48" s="601">
        <f>IFERROR((Q11/Q17)*1.15,"TBD")</f>
        <v>11500</v>
      </c>
      <c r="R48" s="602"/>
      <c r="S48" s="193"/>
      <c r="T48" s="374"/>
    </row>
    <row r="49" spans="2:20" ht="8.25" customHeight="1" x14ac:dyDescent="0.25">
      <c r="B49" s="189"/>
      <c r="C49" s="302"/>
      <c r="D49" s="176"/>
      <c r="E49" s="176"/>
      <c r="F49" s="176"/>
      <c r="G49" s="176"/>
      <c r="H49" s="176"/>
      <c r="I49" s="176"/>
      <c r="J49" s="193"/>
      <c r="K49" s="176"/>
      <c r="L49" s="302"/>
      <c r="M49" s="478"/>
      <c r="N49" s="478"/>
      <c r="O49" s="478"/>
      <c r="P49" s="478"/>
      <c r="Q49" s="176"/>
      <c r="R49" s="225"/>
      <c r="S49" s="193"/>
      <c r="T49" s="374"/>
    </row>
    <row r="50" spans="2:20" ht="21" x14ac:dyDescent="0.25">
      <c r="B50" s="189"/>
      <c r="C50" s="302"/>
      <c r="D50" s="176"/>
      <c r="E50" s="176"/>
      <c r="F50" s="176"/>
      <c r="G50" s="176"/>
      <c r="H50" s="176"/>
      <c r="I50" s="176"/>
      <c r="J50" s="193"/>
      <c r="K50" s="176"/>
      <c r="L50" s="302"/>
      <c r="M50" s="176"/>
      <c r="N50" s="185"/>
      <c r="O50" s="352" t="s">
        <v>67</v>
      </c>
      <c r="P50" s="352"/>
      <c r="Q50" s="608">
        <f>IF(Q46=0,"TBD",IF(Q48=0,"TBD",MIN(Q46,Q48)))</f>
        <v>11500</v>
      </c>
      <c r="R50" s="609"/>
      <c r="S50" s="193"/>
      <c r="T50" s="374"/>
    </row>
    <row r="51" spans="2:20" ht="18.75" x14ac:dyDescent="0.25">
      <c r="B51" s="189"/>
      <c r="C51" s="303"/>
      <c r="D51" s="200"/>
      <c r="E51" s="203"/>
      <c r="F51" s="203"/>
      <c r="G51" s="203"/>
      <c r="H51" s="203"/>
      <c r="I51" s="207"/>
      <c r="J51" s="304"/>
      <c r="K51" s="176"/>
      <c r="L51" s="303"/>
      <c r="M51" s="200"/>
      <c r="N51" s="203"/>
      <c r="O51" s="203"/>
      <c r="P51" s="203"/>
      <c r="Q51" s="203"/>
      <c r="R51" s="207"/>
      <c r="S51" s="304"/>
      <c r="T51" s="374"/>
    </row>
    <row r="52" spans="2:20" x14ac:dyDescent="0.25">
      <c r="B52" s="189"/>
      <c r="C52" s="176"/>
      <c r="D52" s="176"/>
      <c r="E52" s="176"/>
      <c r="F52" s="176"/>
      <c r="G52" s="176"/>
      <c r="H52" s="176"/>
      <c r="I52" s="176"/>
      <c r="J52" s="176"/>
      <c r="K52" s="176"/>
      <c r="L52" s="176"/>
      <c r="M52" s="176"/>
      <c r="N52" s="176"/>
      <c r="O52" s="176"/>
      <c r="P52" s="176"/>
      <c r="Q52" s="176"/>
      <c r="R52" s="176"/>
      <c r="S52" s="176"/>
      <c r="T52" s="374"/>
    </row>
    <row r="53" spans="2:20" x14ac:dyDescent="0.25">
      <c r="B53" s="199"/>
      <c r="C53" s="200"/>
      <c r="D53" s="200"/>
      <c r="E53" s="200"/>
      <c r="F53" s="200"/>
      <c r="G53" s="200"/>
      <c r="H53" s="200"/>
      <c r="I53" s="200"/>
      <c r="J53" s="200"/>
      <c r="K53" s="200"/>
      <c r="L53" s="200"/>
      <c r="M53" s="200"/>
      <c r="N53" s="200"/>
      <c r="O53" s="200"/>
      <c r="P53" s="200"/>
      <c r="Q53" s="200"/>
      <c r="R53" s="200"/>
      <c r="S53" s="200"/>
      <c r="T53" s="375"/>
    </row>
  </sheetData>
  <mergeCells count="52">
    <mergeCell ref="D11:F11"/>
    <mergeCell ref="H11:I11"/>
    <mergeCell ref="Q17:R17"/>
    <mergeCell ref="M17:O17"/>
    <mergeCell ref="M46:O46"/>
    <mergeCell ref="Q41:R41"/>
    <mergeCell ref="M43:R43"/>
    <mergeCell ref="Q4:R4"/>
    <mergeCell ref="M48:P49"/>
    <mergeCell ref="Q31:R31"/>
    <mergeCell ref="Q29:R29"/>
    <mergeCell ref="Q25:R25"/>
    <mergeCell ref="Q23:R23"/>
    <mergeCell ref="M11:O11"/>
    <mergeCell ref="Q11:R11"/>
    <mergeCell ref="M13:O13"/>
    <mergeCell ref="Q13:R13"/>
    <mergeCell ref="M15:R15"/>
    <mergeCell ref="L20:R20"/>
    <mergeCell ref="L19:O19"/>
    <mergeCell ref="Q50:R50"/>
    <mergeCell ref="Q48:R48"/>
    <mergeCell ref="Q46:R46"/>
    <mergeCell ref="H41:I41"/>
    <mergeCell ref="H13:I13"/>
    <mergeCell ref="H23:I23"/>
    <mergeCell ref="H25:I25"/>
    <mergeCell ref="H29:I29"/>
    <mergeCell ref="H31:I31"/>
    <mergeCell ref="H33:I33"/>
    <mergeCell ref="H35:I35"/>
    <mergeCell ref="H37:I37"/>
    <mergeCell ref="Q21:R21"/>
    <mergeCell ref="Q19:R19"/>
    <mergeCell ref="Q37:R37"/>
    <mergeCell ref="Q39:R39"/>
    <mergeCell ref="B1:H1"/>
    <mergeCell ref="L9:S9"/>
    <mergeCell ref="H39:I39"/>
    <mergeCell ref="B2:T2"/>
    <mergeCell ref="D13:G14"/>
    <mergeCell ref="Q33:R33"/>
    <mergeCell ref="Q35:R35"/>
    <mergeCell ref="F4:H4"/>
    <mergeCell ref="F6:H6"/>
    <mergeCell ref="D6:E6"/>
    <mergeCell ref="D4:E4"/>
    <mergeCell ref="C9:J9"/>
    <mergeCell ref="D21:G21"/>
    <mergeCell ref="H21:I21"/>
    <mergeCell ref="H19:I19"/>
    <mergeCell ref="D15:I15"/>
  </mergeCells>
  <conditionalFormatting sqref="L9:S10 L22:S22 Q19 L42:S42 L41:Q41 S41 L40:S40 L39:Q39 S39 L38:S38 L37:Q37 S37 L36:S36 L35:Q35 S35 L34:S34 L33:Q33 S33 L32:S32 L31:Q31 S31 L30:S30 L29:Q29 S29 L26:S28 L25:Q25 S25 L24:S24 L23:Q23 S23 L21:Q21 C42:J42 C41:H41 J41 C40:J40 C39:H39 J39 C38:J38 C37:H37 J37 C36:J36 C35:H35 J35 C34:J34 C33:H33 J33 C32:J32 C31:H31 J31 C30:J30 C29:H29 J29 C26:J28 C25:H25 J25 C24:J24 L12:S12 L11:M11 S11 S13:S21 L13:L20 C9:J10 M13:M14 Q13:Q14 C11:C23 D11:D13 H14:I14 J11:J23">
    <cfRule type="expression" dxfId="21" priority="21">
      <formula>$O$36="Personal"</formula>
    </cfRule>
  </conditionalFormatting>
  <conditionalFormatting sqref="L9:S10 L22:S22 Q19 L42:S42 L41:Q41 S41 L40:S40 L39:Q39 S39 L38:S38 L37:Q37 S37 L36:S36 L35:Q35 S35 L34:S34 L33:Q33 S33 L32:S32 L31:Q31 S31 L30:S30 L29:Q29 S29 L26:S28 L25:Q25 S25 L24:S24 L23:Q23 S23 L21:Q21 L44:S45 L43:M43 S43 C42:J42 C41:H41 J41 C40:J40 C39:H39 J39 C38:J38 C37:H37 J37 C36:J36 C35:H35 J35 C34:J34 C33:H33 J33 C32:J32 C31:H31 J31 C30:J30 C29:H29 J29 C26:J28 C25:H25 J25 C24:J24 L12:S12 L11:M11 S11 S13:S21 L13:L20 L51:S51 L50:Q50 S50 C51:J51 L49 L48:M48 S48 L47:S47 L46:M46 S46 Q46 C9:J10 M13:M14 Q13:Q14 Q48 Q49:S49 C11:C23 D11:D13 H14:I14 J11:J23 D15 D23:H23 D22:I22 D21 J43:J50 D20:I20 C43:C50 D19:H19 D16:I16 E18:I18 D17 H21">
    <cfRule type="expression" dxfId="20" priority="20">
      <formula>$H$84="Expense Factor"</formula>
    </cfRule>
  </conditionalFormatting>
  <conditionalFormatting sqref="H11">
    <cfRule type="expression" dxfId="19" priority="13">
      <formula>$O$36="Personal"</formula>
    </cfRule>
  </conditionalFormatting>
  <conditionalFormatting sqref="H11">
    <cfRule type="expression" dxfId="18" priority="12">
      <formula>$H$84="Expense Factor"</formula>
    </cfRule>
  </conditionalFormatting>
  <conditionalFormatting sqref="H13">
    <cfRule type="expression" dxfId="17" priority="11">
      <formula>$O$36="Personal"</formula>
    </cfRule>
  </conditionalFormatting>
  <conditionalFormatting sqref="H13">
    <cfRule type="expression" dxfId="16" priority="10">
      <formula>$H$84="Expense Factor"</formula>
    </cfRule>
  </conditionalFormatting>
  <conditionalFormatting sqref="Q11">
    <cfRule type="expression" dxfId="15" priority="9">
      <formula>$O$36="Personal"</formula>
    </cfRule>
  </conditionalFormatting>
  <conditionalFormatting sqref="Q11">
    <cfRule type="expression" dxfId="14" priority="8">
      <formula>$H$84="Expense Factor"</formula>
    </cfRule>
  </conditionalFormatting>
  <conditionalFormatting sqref="M15">
    <cfRule type="expression" dxfId="13" priority="3">
      <formula>$H$84="Expense Factor"</formula>
    </cfRule>
  </conditionalFormatting>
  <conditionalFormatting sqref="Q4">
    <cfRule type="expression" dxfId="12" priority="2">
      <formula>$O$36="Personal"</formula>
    </cfRule>
  </conditionalFormatting>
  <conditionalFormatting sqref="Q4">
    <cfRule type="expression" dxfId="11" priority="1">
      <formula>$H$84="Expense Factor"</formula>
    </cfRule>
  </conditionalFormatting>
  <dataValidations count="1">
    <dataValidation type="whole" allowBlank="1" showInputMessage="1" showErrorMessage="1" sqref="Q17:R17">
      <formula1>1</formula1>
      <formula2>12</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3"/>
  <sheetViews>
    <sheetView showGridLines="0" topLeftCell="A48" zoomScaleNormal="100" workbookViewId="0">
      <selection activeCell="J61" sqref="J61"/>
    </sheetView>
  </sheetViews>
  <sheetFormatPr defaultColWidth="8.85546875" defaultRowHeight="15" x14ac:dyDescent="0.25"/>
  <cols>
    <col min="1" max="1" width="3.140625" style="2" customWidth="1"/>
    <col min="2" max="2" width="9" style="2" customWidth="1"/>
    <col min="3" max="3" width="20.7109375" style="2" customWidth="1"/>
    <col min="4" max="4" width="19.7109375" style="2" customWidth="1"/>
    <col min="5" max="5" width="21.28515625" style="2" customWidth="1"/>
    <col min="6" max="6" width="2.140625" style="2" customWidth="1"/>
    <col min="7" max="7" width="18" style="2" customWidth="1"/>
    <col min="8" max="8" width="3.28515625" style="2" customWidth="1"/>
    <col min="9" max="9" width="6.28515625" style="2" customWidth="1"/>
    <col min="10" max="10" width="31.7109375" style="2" customWidth="1"/>
    <col min="11" max="11" width="19.140625" style="2" customWidth="1"/>
    <col min="12" max="12" width="7.5703125" style="2" customWidth="1"/>
    <col min="13" max="13" width="18.85546875" style="2" customWidth="1"/>
    <col min="14" max="14" width="11.5703125" style="2" bestFit="1" customWidth="1"/>
    <col min="15" max="16384" width="8.85546875" style="2"/>
  </cols>
  <sheetData>
    <row r="1" spans="1:18" ht="8.4499999999999993" customHeight="1" x14ac:dyDescent="0.25">
      <c r="A1" s="1"/>
      <c r="B1" s="8"/>
      <c r="C1" s="8"/>
      <c r="D1" s="8"/>
      <c r="E1" s="8"/>
      <c r="F1" s="8"/>
      <c r="G1" s="20"/>
      <c r="H1" s="20"/>
      <c r="I1" s="20"/>
      <c r="J1" s="61"/>
      <c r="K1" s="1"/>
      <c r="L1" s="1"/>
    </row>
    <row r="2" spans="1:18" ht="28.5" customHeight="1" x14ac:dyDescent="0.25">
      <c r="A2" s="1"/>
      <c r="B2" s="65" t="s">
        <v>28</v>
      </c>
      <c r="C2" s="1"/>
      <c r="D2" s="1"/>
      <c r="E2" s="1"/>
      <c r="F2" s="1"/>
      <c r="G2" s="129"/>
      <c r="H2" s="1"/>
      <c r="I2" s="1"/>
      <c r="J2" s="35"/>
      <c r="K2" s="1"/>
      <c r="L2" s="1"/>
    </row>
    <row r="3" spans="1:18" ht="5.45" customHeight="1" thickBot="1" x14ac:dyDescent="0.3">
      <c r="A3" s="1"/>
      <c r="B3" s="24"/>
      <c r="C3" s="1"/>
      <c r="D3" s="1"/>
      <c r="E3" s="1"/>
      <c r="F3" s="1"/>
      <c r="G3" s="3"/>
      <c r="H3" s="3"/>
      <c r="I3" s="3"/>
      <c r="J3" s="35"/>
      <c r="K3" s="1"/>
      <c r="L3" s="1"/>
    </row>
    <row r="4" spans="1:18" ht="23.25" customHeight="1" x14ac:dyDescent="0.25">
      <c r="B4" s="632" t="s">
        <v>25</v>
      </c>
      <c r="C4" s="633"/>
      <c r="D4" s="633"/>
      <c r="E4" s="633"/>
      <c r="F4" s="633"/>
      <c r="G4" s="633"/>
      <c r="H4" s="633"/>
      <c r="I4" s="634"/>
      <c r="J4" s="64"/>
      <c r="K4" s="1"/>
      <c r="L4" s="1"/>
      <c r="M4" s="66"/>
    </row>
    <row r="5" spans="1:18" ht="9" customHeight="1" thickBot="1" x14ac:dyDescent="0.3">
      <c r="B5" s="635"/>
      <c r="C5" s="636"/>
      <c r="D5" s="636"/>
      <c r="E5" s="636"/>
      <c r="F5" s="636"/>
      <c r="G5" s="636"/>
      <c r="H5" s="636"/>
      <c r="I5" s="637"/>
      <c r="J5" s="64"/>
      <c r="K5" s="1"/>
      <c r="L5" s="1"/>
    </row>
    <row r="6" spans="1:18" ht="36" customHeight="1" x14ac:dyDescent="0.25">
      <c r="B6" s="644" t="e">
        <f>IF(#REF!="Business",Admin!E3,IF(#REF!="Personal",Admin!E4,Admin!E5))</f>
        <v>#REF!</v>
      </c>
      <c r="C6" s="645"/>
      <c r="D6" s="645"/>
      <c r="E6" s="645"/>
      <c r="F6" s="645"/>
      <c r="G6" s="645"/>
      <c r="H6" s="645"/>
      <c r="I6" s="646"/>
      <c r="J6" s="62"/>
      <c r="K6" s="1"/>
      <c r="L6" s="1"/>
    </row>
    <row r="7" spans="1:18" ht="12.75" customHeight="1" x14ac:dyDescent="0.25">
      <c r="B7" s="133"/>
      <c r="C7" s="71"/>
      <c r="D7" s="71"/>
      <c r="E7" s="71"/>
      <c r="F7" s="71"/>
      <c r="G7" s="71"/>
      <c r="H7" s="71"/>
      <c r="I7" s="72"/>
      <c r="J7" s="63"/>
      <c r="K7" s="1"/>
      <c r="L7" s="1"/>
    </row>
    <row r="8" spans="1:18" ht="42" customHeight="1" thickBot="1" x14ac:dyDescent="0.3">
      <c r="B8" s="647" t="s">
        <v>60</v>
      </c>
      <c r="C8" s="648"/>
      <c r="D8" s="648"/>
      <c r="E8" s="648"/>
      <c r="F8" s="648"/>
      <c r="G8" s="648"/>
      <c r="H8" s="648"/>
      <c r="I8" s="649"/>
    </row>
    <row r="9" spans="1:18" ht="21.6" customHeight="1" x14ac:dyDescent="0.25">
      <c r="B9" s="638" t="e">
        <f xml:space="preserve"> IF(#REF!="Personal","This section is not required for Personal, proceed to results section below.",IF(#REF!="Please enter at least 12 months of deposits", "During the most recent TBD months…", "During the most recent "&amp;#REF!&amp; " months…"))</f>
        <v>#REF!</v>
      </c>
      <c r="C9" s="639"/>
      <c r="D9" s="639"/>
      <c r="E9" s="639"/>
      <c r="F9" s="639"/>
      <c r="G9" s="639"/>
      <c r="H9" s="639"/>
      <c r="I9" s="640"/>
      <c r="J9" s="1"/>
    </row>
    <row r="10" spans="1:18" ht="29.25" customHeight="1" x14ac:dyDescent="0.25">
      <c r="B10" s="641"/>
      <c r="C10" s="642"/>
      <c r="D10" s="642"/>
      <c r="E10" s="642"/>
      <c r="F10" s="642"/>
      <c r="G10" s="642"/>
      <c r="H10" s="642"/>
      <c r="I10" s="643"/>
      <c r="J10" s="98"/>
      <c r="K10" s="99"/>
      <c r="L10" s="1"/>
    </row>
    <row r="11" spans="1:18" ht="8.4499999999999993" customHeight="1" x14ac:dyDescent="0.3">
      <c r="B11" s="21"/>
      <c r="C11" s="34"/>
      <c r="D11" s="34"/>
      <c r="E11" s="1"/>
      <c r="F11" s="35"/>
      <c r="G11" s="1"/>
      <c r="H11" s="4"/>
      <c r="I11" s="31"/>
      <c r="J11" s="98"/>
      <c r="K11" s="99"/>
      <c r="L11" s="1"/>
    </row>
    <row r="12" spans="1:18" ht="9" customHeight="1" x14ac:dyDescent="0.25">
      <c r="B12" s="650" t="s">
        <v>42</v>
      </c>
      <c r="C12" s="651"/>
      <c r="D12" s="651"/>
      <c r="E12" s="651"/>
      <c r="F12" s="651"/>
      <c r="G12" s="1"/>
      <c r="H12" s="1"/>
      <c r="I12" s="11"/>
      <c r="J12" s="98"/>
      <c r="K12" s="99"/>
      <c r="P12" s="63"/>
      <c r="Q12" s="1"/>
      <c r="R12" s="1"/>
    </row>
    <row r="13" spans="1:18" ht="32.25" customHeight="1" x14ac:dyDescent="0.25">
      <c r="B13" s="650"/>
      <c r="C13" s="651"/>
      <c r="D13" s="651"/>
      <c r="E13" s="651"/>
      <c r="F13" s="651"/>
      <c r="G13" s="119"/>
      <c r="H13" s="36"/>
      <c r="I13" s="57"/>
      <c r="J13" s="98"/>
      <c r="K13" s="99"/>
      <c r="O13" s="1"/>
      <c r="P13" s="134"/>
      <c r="Q13" s="42" t="e">
        <f>IF(BT="","",IF(BT="Personal","N/A",IF((OR(G13&lt;1,AMD&lt;1)),"N/A",IF(ABS(AMD-($G$13/12))&lt;=0.1*($G$13/12),"YES","NO"))))</f>
        <v>#REF!</v>
      </c>
      <c r="R13" s="42" t="e">
        <f>IF(BT="","",IF(BT="Personal","N/A",IF((OR(H13&lt;1,AMD&lt;1)),"N/A",IF(ABS(AMD-($G$13/12))&lt;=0.1*($G$13/12),"YES","NO"))))</f>
        <v>#REF!</v>
      </c>
    </row>
    <row r="14" spans="1:18" ht="27" customHeight="1" x14ac:dyDescent="0.3">
      <c r="B14" s="666" t="s">
        <v>56</v>
      </c>
      <c r="C14" s="667"/>
      <c r="D14" s="667"/>
      <c r="E14" s="667"/>
      <c r="F14" s="667"/>
      <c r="G14" s="5"/>
      <c r="H14" s="36"/>
      <c r="I14" s="57"/>
      <c r="P14" s="134"/>
      <c r="Q14" s="37" t="e">
        <f>IF(BT="","",IF(BT="Business","N/A",IF((OR(G13&lt;1,AMD&lt;1)),"N/A",IF(ABS(AMD-$H$50)&lt;=0.1*H50,"YES", "NO"))))</f>
        <v>#REF!</v>
      </c>
      <c r="R14" s="37" t="e">
        <f>IF(BT="","",IF(BT="Business","N/A",IF((OR(H13&lt;1,AMD&lt;1)),"N/A",IF(ABS(AMD-$H$50)&lt;=0.1*#REF!,"YES", "NO"))))</f>
        <v>#REF!</v>
      </c>
    </row>
    <row r="15" spans="1:18" ht="18.75" x14ac:dyDescent="0.3">
      <c r="B15" s="9"/>
      <c r="C15" s="1"/>
      <c r="D15" s="674" t="s">
        <v>0</v>
      </c>
      <c r="E15" s="674"/>
      <c r="F15" s="121"/>
      <c r="G15" s="116"/>
      <c r="H15" s="36"/>
      <c r="I15" s="57"/>
      <c r="J15" s="672" t="e">
        <f>IF(AND(OR(#REF!="Sells Goods",#REF!= "Both"),OR(G15="", G15&lt;1)),"Your borrower sells goods, please enter COGS to the left!","")</f>
        <v>#REF!</v>
      </c>
      <c r="K15" s="673"/>
      <c r="L15" s="673"/>
      <c r="P15" s="134"/>
      <c r="Q15" s="37"/>
      <c r="R15" s="37"/>
    </row>
    <row r="16" spans="1:18" ht="26.25" customHeight="1" x14ac:dyDescent="0.3">
      <c r="B16" s="22"/>
      <c r="C16" s="1"/>
      <c r="D16" s="675" t="s">
        <v>1</v>
      </c>
      <c r="E16" s="675"/>
      <c r="F16" s="120"/>
      <c r="G16" s="116"/>
      <c r="H16" s="36"/>
      <c r="I16" s="57"/>
      <c r="J16" s="670" t="e">
        <f>IF(AND(#REF!="Yes",OR(G16="", G16&lt;1)),"Your borrower has employees, please enter wages to the left!","")</f>
        <v>#REF!</v>
      </c>
      <c r="K16" s="671"/>
      <c r="L16" s="671"/>
      <c r="P16" s="59"/>
      <c r="Q16" s="1"/>
      <c r="R16" s="1"/>
    </row>
    <row r="17" spans="1:14" ht="20.25" customHeight="1" x14ac:dyDescent="0.3">
      <c r="B17" s="22"/>
      <c r="C17" s="1"/>
      <c r="D17" s="676" t="s">
        <v>34</v>
      </c>
      <c r="E17" s="677"/>
      <c r="F17" s="121"/>
      <c r="G17" s="116"/>
      <c r="H17" s="36"/>
      <c r="I17" s="57"/>
      <c r="J17" s="668" t="e">
        <f>IF(AND(#REF!="Yes",OR(G17="", G17&lt;1)),"Your borrower leases space, please enter rent to the left","")</f>
        <v>#REF!</v>
      </c>
      <c r="K17" s="669"/>
      <c r="L17" s="669"/>
    </row>
    <row r="18" spans="1:14" ht="18.75" x14ac:dyDescent="0.3">
      <c r="B18" s="22"/>
      <c r="C18" s="1"/>
      <c r="D18" s="664" t="s">
        <v>43</v>
      </c>
      <c r="E18" s="665"/>
      <c r="F18" s="120"/>
      <c r="G18" s="116"/>
      <c r="H18" s="36"/>
      <c r="I18" s="57"/>
      <c r="J18" s="87"/>
      <c r="K18" s="87"/>
    </row>
    <row r="19" spans="1:14" ht="18.75" x14ac:dyDescent="0.3">
      <c r="B19" s="22"/>
      <c r="C19" s="28"/>
      <c r="D19" s="28" t="s">
        <v>5</v>
      </c>
      <c r="E19" s="32"/>
      <c r="F19" s="120"/>
      <c r="G19" s="117"/>
      <c r="H19" s="36"/>
      <c r="I19" s="57"/>
      <c r="J19" s="73"/>
      <c r="K19" s="73"/>
    </row>
    <row r="20" spans="1:14" ht="18.75" x14ac:dyDescent="0.3">
      <c r="B20" s="22"/>
      <c r="C20" s="28"/>
      <c r="D20" s="28" t="s">
        <v>5</v>
      </c>
      <c r="E20" s="32"/>
      <c r="F20" s="120"/>
      <c r="G20" s="117"/>
      <c r="H20" s="36"/>
      <c r="I20" s="57"/>
      <c r="J20" s="58"/>
      <c r="K20" s="1"/>
      <c r="L20" s="1"/>
    </row>
    <row r="21" spans="1:14" ht="18.75" x14ac:dyDescent="0.3">
      <c r="B21" s="22"/>
      <c r="C21" s="28"/>
      <c r="D21" s="28" t="s">
        <v>5</v>
      </c>
      <c r="E21" s="32"/>
      <c r="F21" s="120"/>
      <c r="G21" s="117"/>
      <c r="H21" s="36"/>
      <c r="I21" s="57"/>
      <c r="J21" s="58"/>
      <c r="K21" s="1"/>
      <c r="L21" s="1"/>
    </row>
    <row r="22" spans="1:14" ht="18.75" x14ac:dyDescent="0.3">
      <c r="B22" s="22"/>
      <c r="C22" s="28"/>
      <c r="D22" s="28" t="s">
        <v>5</v>
      </c>
      <c r="E22" s="32"/>
      <c r="F22" s="120"/>
      <c r="G22" s="117"/>
      <c r="H22" s="36"/>
      <c r="I22" s="57"/>
      <c r="J22" s="58"/>
      <c r="K22" s="1"/>
      <c r="L22" s="1"/>
    </row>
    <row r="23" spans="1:14" ht="21.6" customHeight="1" x14ac:dyDescent="0.25">
      <c r="B23" s="9"/>
      <c r="C23" s="661" t="s">
        <v>7</v>
      </c>
      <c r="D23" s="661"/>
      <c r="E23" s="661"/>
      <c r="F23" s="661"/>
      <c r="G23" s="118">
        <f>SUM(G15:G22)</f>
        <v>0</v>
      </c>
      <c r="H23" s="36"/>
      <c r="I23" s="57"/>
      <c r="J23" s="58"/>
      <c r="K23" s="1"/>
      <c r="L23" s="1"/>
    </row>
    <row r="24" spans="1:14" ht="7.5" customHeight="1" x14ac:dyDescent="0.25">
      <c r="B24" s="9"/>
      <c r="C24" s="122"/>
      <c r="D24" s="122"/>
      <c r="E24" s="122"/>
      <c r="F24" s="122"/>
      <c r="G24" s="5"/>
      <c r="H24" s="36"/>
      <c r="I24" s="57"/>
      <c r="J24" s="58"/>
      <c r="K24" s="1"/>
      <c r="L24" s="1"/>
    </row>
    <row r="25" spans="1:14" ht="24" customHeight="1" x14ac:dyDescent="0.25">
      <c r="A25" s="11"/>
      <c r="B25" s="9"/>
      <c r="C25" s="122"/>
      <c r="D25" s="122"/>
      <c r="E25" s="122" t="s">
        <v>26</v>
      </c>
      <c r="F25" s="122"/>
      <c r="G25" s="115">
        <f>G13-G23</f>
        <v>0</v>
      </c>
      <c r="H25" s="36"/>
      <c r="I25" s="57"/>
      <c r="J25" s="58"/>
      <c r="K25" s="1"/>
      <c r="L25" s="1"/>
    </row>
    <row r="26" spans="1:14" ht="4.5" customHeight="1" x14ac:dyDescent="0.25">
      <c r="B26" s="9"/>
      <c r="C26" s="135"/>
      <c r="D26" s="135"/>
      <c r="E26" s="135"/>
      <c r="F26" s="135"/>
      <c r="G26" s="136"/>
      <c r="H26" s="36"/>
      <c r="I26" s="57"/>
      <c r="J26" s="58"/>
      <c r="K26" s="1"/>
      <c r="L26" s="1"/>
    </row>
    <row r="27" spans="1:14" ht="24" customHeight="1" x14ac:dyDescent="0.25">
      <c r="A27" s="11"/>
      <c r="B27" s="9"/>
      <c r="C27" s="122"/>
      <c r="D27" s="122"/>
      <c r="E27" s="122" t="s">
        <v>39</v>
      </c>
      <c r="F27" s="122"/>
      <c r="G27" s="115" t="e">
        <f>G25*(#REF!)</f>
        <v>#REF!</v>
      </c>
      <c r="H27" s="36"/>
      <c r="I27" s="57"/>
      <c r="J27" s="58"/>
      <c r="K27" s="1"/>
      <c r="L27" s="1"/>
      <c r="N27" s="128"/>
    </row>
    <row r="28" spans="1:14" ht="21.6" customHeight="1" x14ac:dyDescent="0.25">
      <c r="B28" s="9"/>
      <c r="C28" s="140"/>
      <c r="D28" s="140"/>
      <c r="E28" s="140"/>
      <c r="F28" s="140"/>
      <c r="G28" s="5"/>
      <c r="H28" s="36"/>
      <c r="I28" s="33"/>
      <c r="J28" s="43"/>
      <c r="K28" s="1"/>
      <c r="L28" s="1"/>
    </row>
    <row r="29" spans="1:14" ht="18.75" customHeight="1" x14ac:dyDescent="0.3">
      <c r="B29" s="9"/>
      <c r="C29" s="34"/>
      <c r="D29" s="34"/>
      <c r="E29" s="34"/>
      <c r="F29" s="34"/>
      <c r="G29" s="5"/>
      <c r="H29" s="3"/>
      <c r="I29" s="57"/>
      <c r="J29" s="68"/>
      <c r="K29" s="68"/>
      <c r="L29" s="68"/>
    </row>
    <row r="30" spans="1:14" ht="18.75" customHeight="1" thickBot="1" x14ac:dyDescent="0.35">
      <c r="B30" s="662" t="s">
        <v>54</v>
      </c>
      <c r="C30" s="475"/>
      <c r="D30" s="475"/>
      <c r="E30" s="39"/>
      <c r="F30" s="39"/>
      <c r="G30" s="39"/>
      <c r="H30" s="39"/>
      <c r="I30" s="57"/>
      <c r="J30" s="68"/>
      <c r="K30" s="68"/>
      <c r="L30" s="68"/>
    </row>
    <row r="31" spans="1:14" ht="18.75" customHeight="1" thickBot="1" x14ac:dyDescent="0.35">
      <c r="B31" s="18"/>
      <c r="C31" s="39"/>
      <c r="D31" s="39"/>
      <c r="E31" s="39"/>
      <c r="F31" s="39"/>
      <c r="G31" s="40"/>
      <c r="H31" s="41"/>
      <c r="I31" s="60"/>
      <c r="J31" s="68"/>
      <c r="K31" s="68"/>
      <c r="L31" s="68"/>
    </row>
    <row r="32" spans="1:14" ht="9.75" customHeight="1" x14ac:dyDescent="0.3">
      <c r="B32" s="29"/>
      <c r="C32" s="30"/>
      <c r="D32" s="30"/>
      <c r="E32" s="30"/>
      <c r="F32" s="30"/>
      <c r="G32" s="30"/>
      <c r="H32" s="44"/>
      <c r="I32" s="95"/>
      <c r="J32" s="58"/>
      <c r="K32" s="1"/>
      <c r="L32" s="1"/>
    </row>
    <row r="33" spans="2:19" ht="21.6" customHeight="1" x14ac:dyDescent="0.3">
      <c r="B33" s="110"/>
      <c r="C33" s="628" t="e">
        <f>IF(#REF!="Business", IF(G23="0","Please enter expenses for the business above.", "The business' expense ratio is "&amp;(ROUND((((IFERROR((G13-(G13-G23))/G13,0))*100)),0))&amp;"%."), "")</f>
        <v>#REF!</v>
      </c>
      <c r="D33" s="628"/>
      <c r="E33" s="628"/>
      <c r="F33" s="628"/>
      <c r="G33" s="628"/>
      <c r="H33" s="38"/>
      <c r="I33" s="57"/>
      <c r="J33" s="678"/>
      <c r="K33" s="678"/>
    </row>
    <row r="34" spans="2:19" ht="6.75" customHeight="1" x14ac:dyDescent="0.3">
      <c r="B34" s="9"/>
      <c r="C34" s="34"/>
      <c r="D34" s="34"/>
      <c r="E34" s="34"/>
      <c r="F34" s="34"/>
      <c r="G34" s="5"/>
      <c r="H34" s="38"/>
      <c r="I34" s="57"/>
      <c r="J34" s="678"/>
      <c r="K34" s="678"/>
    </row>
    <row r="35" spans="2:19" ht="36" customHeight="1" x14ac:dyDescent="0.3">
      <c r="B35" s="9"/>
      <c r="C35" s="627" t="e">
        <f>IF(#REF! ="Business", "Please describe the business and comment why the expense ratio is deemed reasonable:", "Please describe the business")</f>
        <v>#REF!</v>
      </c>
      <c r="D35" s="627"/>
      <c r="E35" s="627"/>
      <c r="F35" s="627"/>
      <c r="G35" s="627"/>
      <c r="H35" s="38"/>
      <c r="I35" s="57"/>
      <c r="J35" s="678"/>
      <c r="K35" s="678"/>
    </row>
    <row r="36" spans="2:19" ht="21.6" customHeight="1" x14ac:dyDescent="0.25">
      <c r="B36" s="9"/>
      <c r="C36" s="652"/>
      <c r="D36" s="653"/>
      <c r="E36" s="653"/>
      <c r="F36" s="653"/>
      <c r="G36" s="654"/>
      <c r="H36" s="38"/>
      <c r="I36" s="57"/>
      <c r="J36" s="678"/>
      <c r="K36" s="678"/>
    </row>
    <row r="37" spans="2:19" ht="21.6" customHeight="1" x14ac:dyDescent="0.25">
      <c r="B37" s="9"/>
      <c r="C37" s="655"/>
      <c r="D37" s="656"/>
      <c r="E37" s="656"/>
      <c r="F37" s="656"/>
      <c r="G37" s="657"/>
      <c r="H37" s="38"/>
      <c r="I37" s="57"/>
      <c r="J37" s="678"/>
      <c r="K37" s="678"/>
    </row>
    <row r="38" spans="2:19" ht="21.6" customHeight="1" x14ac:dyDescent="0.25">
      <c r="B38" s="9"/>
      <c r="C38" s="655"/>
      <c r="D38" s="656"/>
      <c r="E38" s="656"/>
      <c r="F38" s="656"/>
      <c r="G38" s="657"/>
      <c r="H38" s="38"/>
      <c r="I38" s="57"/>
      <c r="J38" s="678"/>
      <c r="K38" s="678"/>
    </row>
    <row r="39" spans="2:19" ht="21.6" customHeight="1" x14ac:dyDescent="0.25">
      <c r="B39" s="9"/>
      <c r="C39" s="658"/>
      <c r="D39" s="659"/>
      <c r="E39" s="659"/>
      <c r="F39" s="659"/>
      <c r="G39" s="660"/>
      <c r="H39" s="38"/>
      <c r="I39" s="57"/>
      <c r="J39" s="678"/>
      <c r="K39" s="678"/>
    </row>
    <row r="40" spans="2:19" ht="18.75" customHeight="1" thickBot="1" x14ac:dyDescent="0.35">
      <c r="B40" s="18"/>
      <c r="C40" s="39"/>
      <c r="D40" s="39"/>
      <c r="E40" s="39"/>
      <c r="F40" s="39"/>
      <c r="G40" s="40"/>
      <c r="H40" s="41"/>
      <c r="I40" s="60"/>
      <c r="J40" s="68"/>
      <c r="K40" s="68"/>
      <c r="L40" s="68"/>
    </row>
    <row r="41" spans="2:19" ht="21" x14ac:dyDescent="0.3">
      <c r="B41" s="629" t="s">
        <v>21</v>
      </c>
      <c r="C41" s="630"/>
      <c r="D41" s="630"/>
      <c r="E41" s="630"/>
      <c r="F41" s="630"/>
      <c r="G41" s="630"/>
      <c r="H41" s="630"/>
      <c r="I41" s="631"/>
      <c r="J41" s="2" t="s">
        <v>4</v>
      </c>
      <c r="K41" s="7"/>
      <c r="L41" s="7"/>
      <c r="M41" s="7"/>
      <c r="N41" s="7"/>
      <c r="O41" s="7"/>
      <c r="P41" s="7"/>
      <c r="Q41" s="7"/>
      <c r="R41" s="7"/>
      <c r="S41" s="7"/>
    </row>
    <row r="42" spans="2:19" ht="7.5" customHeight="1" x14ac:dyDescent="0.3">
      <c r="B42" s="142"/>
      <c r="C42" s="141"/>
      <c r="D42" s="141"/>
      <c r="E42" s="141"/>
      <c r="F42" s="141"/>
      <c r="G42" s="141"/>
      <c r="H42" s="141"/>
      <c r="I42" s="143"/>
      <c r="K42" s="7"/>
      <c r="L42" s="7"/>
      <c r="M42" s="7"/>
      <c r="N42" s="7"/>
      <c r="O42" s="7"/>
      <c r="P42" s="7"/>
      <c r="Q42" s="7"/>
      <c r="R42" s="7"/>
      <c r="S42" s="7"/>
    </row>
    <row r="43" spans="2:19" ht="21" x14ac:dyDescent="0.3">
      <c r="B43" s="142"/>
      <c r="C43" s="148" t="s">
        <v>61</v>
      </c>
      <c r="D43" s="141"/>
      <c r="F43" s="141"/>
      <c r="G43" s="147" t="str">
        <f>IFERROR(#REF!,"TBD")</f>
        <v>TBD</v>
      </c>
      <c r="H43" s="141"/>
      <c r="I43" s="143"/>
      <c r="K43" s="7"/>
      <c r="L43" s="7"/>
      <c r="M43" s="7"/>
      <c r="N43" s="7"/>
      <c r="O43" s="7"/>
      <c r="P43" s="7"/>
      <c r="Q43" s="7"/>
      <c r="R43" s="7"/>
      <c r="S43" s="7"/>
    </row>
    <row r="44" spans="2:19" ht="6.75" customHeight="1" x14ac:dyDescent="0.3">
      <c r="B44" s="142"/>
      <c r="C44" s="148"/>
      <c r="D44" s="141"/>
      <c r="E44" s="141"/>
      <c r="F44" s="141"/>
      <c r="G44" s="141"/>
      <c r="H44" s="141"/>
      <c r="I44" s="143"/>
      <c r="K44" s="7"/>
      <c r="L44" s="7"/>
      <c r="M44" s="7"/>
      <c r="N44" s="7"/>
      <c r="O44" s="7"/>
      <c r="P44" s="7"/>
      <c r="Q44" s="7"/>
      <c r="R44" s="7"/>
      <c r="S44" s="7"/>
    </row>
    <row r="45" spans="2:19" ht="21" x14ac:dyDescent="0.3">
      <c r="B45" s="142"/>
      <c r="C45" s="148" t="s">
        <v>58</v>
      </c>
      <c r="D45" s="141"/>
      <c r="F45" s="141"/>
      <c r="G45" s="147" t="str">
        <f>IFERROR(((#REF!+#REF!)/MosReq)*Ownership,"TBD")</f>
        <v>TBD</v>
      </c>
      <c r="H45" s="141"/>
      <c r="I45" s="143"/>
      <c r="K45" s="7"/>
      <c r="L45" s="7"/>
      <c r="M45" s="7"/>
      <c r="N45" s="7"/>
      <c r="O45" s="7"/>
      <c r="P45" s="7"/>
      <c r="Q45" s="7"/>
      <c r="R45" s="7"/>
      <c r="S45" s="7"/>
    </row>
    <row r="46" spans="2:19" ht="6.75" customHeight="1" x14ac:dyDescent="0.3">
      <c r="B46" s="142"/>
      <c r="C46" s="148"/>
      <c r="D46" s="141"/>
      <c r="E46" s="141"/>
      <c r="F46" s="141"/>
      <c r="G46" s="141"/>
      <c r="H46" s="141"/>
      <c r="I46" s="143"/>
      <c r="K46" s="7"/>
      <c r="L46" s="7"/>
      <c r="M46" s="7"/>
      <c r="N46" s="7"/>
      <c r="O46" s="7"/>
      <c r="P46" s="7"/>
      <c r="Q46" s="7"/>
      <c r="R46" s="7"/>
      <c r="S46" s="7"/>
    </row>
    <row r="47" spans="2:19" ht="21" x14ac:dyDescent="0.3">
      <c r="B47" s="142"/>
      <c r="C47" s="148" t="s">
        <v>59</v>
      </c>
      <c r="D47" s="141"/>
      <c r="F47" s="141"/>
      <c r="G47" s="147" t="str">
        <f>IFERROR(IF(BT="Personal","N/A",G27/MosReq),"TBD")</f>
        <v>TBD</v>
      </c>
      <c r="H47" s="141"/>
      <c r="I47" s="143"/>
      <c r="K47" s="7"/>
      <c r="L47" s="7"/>
      <c r="M47" s="7"/>
      <c r="N47" s="7"/>
      <c r="O47" s="7"/>
      <c r="P47" s="7"/>
      <c r="Q47" s="7"/>
      <c r="R47" s="7"/>
      <c r="S47" s="7"/>
    </row>
    <row r="48" spans="2:19" ht="21.75" thickBot="1" x14ac:dyDescent="0.35">
      <c r="B48" s="144"/>
      <c r="C48" s="145"/>
      <c r="D48" s="145"/>
      <c r="E48" s="145"/>
      <c r="F48" s="145"/>
      <c r="G48" s="145"/>
      <c r="H48" s="145"/>
      <c r="I48" s="146"/>
      <c r="K48" s="7"/>
      <c r="L48" s="7"/>
      <c r="M48" s="7"/>
      <c r="N48" s="7"/>
      <c r="O48" s="7"/>
      <c r="P48" s="7"/>
      <c r="Q48" s="7"/>
      <c r="R48" s="7"/>
      <c r="S48" s="7"/>
    </row>
    <row r="49" spans="2:19" ht="40.5" customHeight="1" thickBot="1" x14ac:dyDescent="0.35">
      <c r="B49" s="679" t="s">
        <v>47</v>
      </c>
      <c r="C49" s="680"/>
      <c r="D49" s="679" t="s">
        <v>20</v>
      </c>
      <c r="E49" s="680"/>
      <c r="F49" s="699" t="s">
        <v>44</v>
      </c>
      <c r="G49" s="700"/>
      <c r="H49" s="700"/>
      <c r="I49" s="701"/>
      <c r="K49" s="7"/>
      <c r="L49" s="7"/>
      <c r="M49" s="7"/>
      <c r="N49" s="7"/>
      <c r="O49" s="7"/>
      <c r="P49" s="7"/>
      <c r="Q49" s="7"/>
      <c r="R49" s="7"/>
      <c r="S49" s="7"/>
    </row>
    <row r="50" spans="2:19" ht="33.75" customHeight="1" x14ac:dyDescent="0.3">
      <c r="B50" s="681" t="e">
        <f>IF(#REF!="Personal","Qualifying income is the lesser of income from initial 1003 or average monthly deposits.",IF(ISERROR(IF(#REF!="Business","Average monthly bank statement deposits "&amp;"("&amp;DOLLAR(#REF!,0)&amp;")"&amp;" must be within 10% of gross monthly income ("&amp;DOLLAR('STEP 3 - Income Analysis'!G13/#REF!,0)&amp;")",IF(#REF!="Personal","Average monthly bank statement deposits ("&amp;DOLLAR(#REF!,0)&amp;") must be within 10% of average monthly net income ("&amp;DOLLAR('STEP 3 - Income Analysis'!G27/#REF!,0)&amp;")","TBD"))),"TBD",IF(#REF!="Business","Average monthly bank statement deposits "&amp;"("&amp;DOLLAR(#REF!,0)&amp;")"&amp;" must be within 10% of gross monthly income ("&amp;DOLLAR('STEP 3 - Income Analysis'!G13/#REF!,0)&amp;")",IF(#REF!="Personal","Qualifying income will be the lower of the average monthly bank statement deposits ("&amp;DOLLAR(#REF!,0)&amp;") or the income from initial 1003 ("&amp;DOLLAR(#REF!,0)&amp;")","TBD"))))</f>
        <v>#REF!</v>
      </c>
      <c r="C50" s="682"/>
      <c r="D50" s="687" t="e">
        <f>IF(#REF!="Personal","Yes",IF(#REF!="Business",VLOOKUP(Admin!H4,Admin!$J$3:$K$5,2,0),VLOOKUP(Admin!I4,Admin!$J$3:$K$5,2,0)))</f>
        <v>#REF!</v>
      </c>
      <c r="E50" s="688"/>
      <c r="F50" s="693" t="e">
        <f>IF(IF(#REF!="Business",MIN('STEP 3 - Income Analysis'!G43,'STEP 3 - Income Analysis'!G47),MIN('STEP 3 - Income Analysis'!G43,'STEP 3 - Income Analysis'!G45))=0,"TBD",IF(#REF!="Business",MIN('STEP 3 - Income Analysis'!G43,'STEP 3 - Income Analysis'!G47),MIN('STEP 3 - Income Analysis'!G43,'STEP 3 - Income Analysis'!G45)))</f>
        <v>#REF!</v>
      </c>
      <c r="G50" s="693"/>
      <c r="H50" s="693"/>
      <c r="I50" s="694"/>
      <c r="K50" s="7"/>
      <c r="L50" s="7"/>
      <c r="M50" s="7"/>
      <c r="N50" s="7"/>
      <c r="O50" s="7"/>
      <c r="P50" s="7"/>
      <c r="Q50" s="7"/>
      <c r="R50" s="7"/>
      <c r="S50" s="7"/>
    </row>
    <row r="51" spans="2:19" ht="14.25" customHeight="1" x14ac:dyDescent="0.3">
      <c r="B51" s="683"/>
      <c r="C51" s="684"/>
      <c r="D51" s="689"/>
      <c r="E51" s="690"/>
      <c r="F51" s="695"/>
      <c r="G51" s="695"/>
      <c r="H51" s="695"/>
      <c r="I51" s="696"/>
      <c r="K51" s="7"/>
      <c r="L51" s="7"/>
      <c r="M51" s="7"/>
      <c r="N51" s="7"/>
      <c r="O51" s="7"/>
      <c r="P51" s="7"/>
      <c r="Q51" s="7"/>
      <c r="R51" s="7"/>
      <c r="S51" s="7"/>
    </row>
    <row r="52" spans="2:19" ht="18" customHeight="1" x14ac:dyDescent="0.3">
      <c r="B52" s="683"/>
      <c r="C52" s="684"/>
      <c r="D52" s="689"/>
      <c r="E52" s="690"/>
      <c r="F52" s="695"/>
      <c r="G52" s="695"/>
      <c r="H52" s="695"/>
      <c r="I52" s="696"/>
      <c r="K52" s="663"/>
      <c r="L52" s="663"/>
      <c r="M52" s="663"/>
      <c r="N52" s="7"/>
      <c r="O52" s="7"/>
      <c r="P52" s="7"/>
      <c r="Q52" s="7"/>
      <c r="R52" s="7"/>
      <c r="S52" s="7"/>
    </row>
    <row r="53" spans="2:19" ht="24" customHeight="1" x14ac:dyDescent="0.3">
      <c r="B53" s="683"/>
      <c r="C53" s="684"/>
      <c r="D53" s="689"/>
      <c r="E53" s="690"/>
      <c r="F53" s="695"/>
      <c r="G53" s="695"/>
      <c r="H53" s="695"/>
      <c r="I53" s="696"/>
      <c r="K53" s="663"/>
      <c r="L53" s="663"/>
      <c r="M53" s="663"/>
      <c r="N53" s="7"/>
      <c r="O53" s="7"/>
      <c r="P53" s="7"/>
      <c r="Q53" s="7"/>
      <c r="R53" s="7"/>
      <c r="S53" s="7"/>
    </row>
    <row r="54" spans="2:19" ht="24" customHeight="1" x14ac:dyDescent="0.3">
      <c r="B54" s="683"/>
      <c r="C54" s="684"/>
      <c r="D54" s="689"/>
      <c r="E54" s="690"/>
      <c r="F54" s="695"/>
      <c r="G54" s="695"/>
      <c r="H54" s="695"/>
      <c r="I54" s="696"/>
      <c r="K54" s="7"/>
      <c r="L54" s="7"/>
      <c r="M54" s="7"/>
      <c r="N54" s="7"/>
      <c r="O54" s="7"/>
      <c r="P54" s="7"/>
      <c r="Q54" s="7"/>
      <c r="R54" s="7"/>
      <c r="S54" s="7"/>
    </row>
    <row r="55" spans="2:19" ht="26.25" customHeight="1" x14ac:dyDescent="0.3">
      <c r="B55" s="683"/>
      <c r="C55" s="684"/>
      <c r="D55" s="689"/>
      <c r="E55" s="690"/>
      <c r="F55" s="695"/>
      <c r="G55" s="695"/>
      <c r="H55" s="695"/>
      <c r="I55" s="696"/>
      <c r="K55" s="7"/>
      <c r="L55" s="7"/>
      <c r="M55" s="7"/>
      <c r="N55" s="7"/>
      <c r="O55" s="7"/>
      <c r="P55" s="7"/>
      <c r="Q55" s="7"/>
      <c r="R55" s="7"/>
      <c r="S55" s="7"/>
    </row>
    <row r="56" spans="2:19" ht="38.25" customHeight="1" thickBot="1" x14ac:dyDescent="0.35">
      <c r="B56" s="685"/>
      <c r="C56" s="686"/>
      <c r="D56" s="691"/>
      <c r="E56" s="692"/>
      <c r="F56" s="697"/>
      <c r="G56" s="697"/>
      <c r="H56" s="697"/>
      <c r="I56" s="698"/>
      <c r="K56" s="7"/>
      <c r="L56" s="7"/>
      <c r="M56" s="7"/>
      <c r="N56" s="7"/>
      <c r="O56" s="7"/>
      <c r="P56" s="7"/>
      <c r="Q56" s="7"/>
      <c r="R56" s="7"/>
      <c r="S56" s="7"/>
    </row>
    <row r="58" spans="2:19" ht="15" customHeight="1" x14ac:dyDescent="0.25">
      <c r="B58" s="497" t="s">
        <v>57</v>
      </c>
      <c r="C58" s="497"/>
      <c r="D58" s="497"/>
      <c r="E58" s="497"/>
      <c r="F58" s="497"/>
      <c r="G58" s="497"/>
      <c r="H58" s="497"/>
      <c r="I58" s="497"/>
      <c r="J58" s="497"/>
      <c r="K58" s="497"/>
    </row>
    <row r="59" spans="2:19" ht="118.5" customHeight="1" x14ac:dyDescent="0.25">
      <c r="B59" s="497"/>
      <c r="C59" s="497"/>
      <c r="D59" s="497"/>
      <c r="E59" s="497"/>
      <c r="F59" s="497"/>
      <c r="G59" s="497"/>
      <c r="H59" s="497"/>
      <c r="I59" s="497"/>
      <c r="J59" s="497"/>
      <c r="K59" s="497"/>
    </row>
    <row r="60" spans="2:19" ht="15" customHeight="1" x14ac:dyDescent="0.25"/>
    <row r="61" spans="2:19" ht="15" customHeight="1" x14ac:dyDescent="0.25"/>
    <row r="62" spans="2:19" ht="15" customHeight="1" x14ac:dyDescent="0.25"/>
    <row r="63" spans="2:19" ht="15.75" customHeight="1" x14ac:dyDescent="0.25"/>
  </sheetData>
  <sheetProtection selectLockedCells="1"/>
  <mergeCells count="28">
    <mergeCell ref="J33:K39"/>
    <mergeCell ref="B49:C49"/>
    <mergeCell ref="B50:C56"/>
    <mergeCell ref="D49:E49"/>
    <mergeCell ref="D50:E56"/>
    <mergeCell ref="F50:I56"/>
    <mergeCell ref="F49:I49"/>
    <mergeCell ref="J16:L16"/>
    <mergeCell ref="J15:L15"/>
    <mergeCell ref="D15:E15"/>
    <mergeCell ref="D16:E16"/>
    <mergeCell ref="D17:E17"/>
    <mergeCell ref="B58:K59"/>
    <mergeCell ref="C35:G35"/>
    <mergeCell ref="C33:G33"/>
    <mergeCell ref="B41:I41"/>
    <mergeCell ref="B4:I5"/>
    <mergeCell ref="B9:I10"/>
    <mergeCell ref="B6:I6"/>
    <mergeCell ref="B8:I8"/>
    <mergeCell ref="B12:F13"/>
    <mergeCell ref="C36:G39"/>
    <mergeCell ref="C23:F23"/>
    <mergeCell ref="B30:D30"/>
    <mergeCell ref="K52:M53"/>
    <mergeCell ref="D18:E18"/>
    <mergeCell ref="B14:F14"/>
    <mergeCell ref="J17:L17"/>
  </mergeCells>
  <conditionalFormatting sqref="B6">
    <cfRule type="expression" dxfId="10" priority="25">
      <formula>$B$6="Please complete Step 1 to determine program requirements (business or personal)."</formula>
    </cfRule>
  </conditionalFormatting>
  <conditionalFormatting sqref="B11:I31">
    <cfRule type="expression" dxfId="9" priority="89">
      <formula>#REF!="Personal"</formula>
    </cfRule>
  </conditionalFormatting>
  <conditionalFormatting sqref="G13:G27 E19:E22">
    <cfRule type="expression" dxfId="8" priority="90">
      <formula>#REF!="Personal"</formula>
    </cfRule>
  </conditionalFormatting>
  <conditionalFormatting sqref="B6:I8">
    <cfRule type="expression" dxfId="7" priority="92">
      <formula>#REF!="Personal"</formula>
    </cfRule>
  </conditionalFormatting>
  <pageMargins left="0.2" right="0.2" top="0.25" bottom="0.25" header="0.3" footer="0.3"/>
  <pageSetup paperSize="5" scale="69" fitToHeight="0" orientation="portrait"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Y41"/>
  <sheetViews>
    <sheetView showGridLines="0" tabSelected="1" zoomScale="85" zoomScaleNormal="85" workbookViewId="0">
      <selection activeCell="E8" sqref="E8"/>
    </sheetView>
  </sheetViews>
  <sheetFormatPr defaultColWidth="8.85546875" defaultRowHeight="15" x14ac:dyDescent="0.25"/>
  <cols>
    <col min="1" max="1" width="3.5703125" style="2" customWidth="1"/>
    <col min="2" max="2" width="3.42578125" style="2" customWidth="1"/>
    <col min="3" max="3" width="7" style="2" customWidth="1"/>
    <col min="4" max="4" width="48.5703125" style="84" customWidth="1"/>
    <col min="5" max="5" width="29" style="84" customWidth="1"/>
    <col min="6" max="6" width="5.28515625" style="84" customWidth="1"/>
    <col min="7" max="7" width="18.28515625" style="2" customWidth="1"/>
    <col min="8" max="8" width="22.28515625" style="2" customWidth="1"/>
    <col min="9" max="10" width="18.28515625" style="2" customWidth="1"/>
    <col min="11" max="11" width="3.42578125" style="2" customWidth="1"/>
    <col min="12" max="12" width="57.5703125" style="2" customWidth="1"/>
    <col min="13" max="13" width="4.28515625" style="2" customWidth="1"/>
    <col min="14" max="14" width="2.28515625" style="2" customWidth="1"/>
    <col min="15" max="15" width="2.5703125" style="2" customWidth="1"/>
    <col min="16" max="16" width="19.7109375" style="2" customWidth="1"/>
    <col min="17" max="17" width="34.85546875" style="2" customWidth="1"/>
    <col min="18" max="18" width="10.7109375" style="2" bestFit="1" customWidth="1"/>
    <col min="19" max="36" width="8.85546875" style="2"/>
    <col min="37" max="37" width="0" style="2" hidden="1" customWidth="1"/>
    <col min="38" max="16384" width="8.85546875" style="2"/>
  </cols>
  <sheetData>
    <row r="1" spans="2:25" ht="79.5" customHeight="1" thickBot="1" x14ac:dyDescent="0.3">
      <c r="B1" s="726" t="s">
        <v>131</v>
      </c>
      <c r="C1" s="726"/>
      <c r="D1" s="567"/>
      <c r="E1" s="567"/>
      <c r="F1" s="567"/>
      <c r="G1" s="567"/>
      <c r="H1" s="183"/>
      <c r="I1" s="183"/>
    </row>
    <row r="2" spans="2:25" ht="24.75" customHeight="1" thickBot="1" x14ac:dyDescent="0.3">
      <c r="B2" s="508" t="s">
        <v>98</v>
      </c>
      <c r="C2" s="509"/>
      <c r="D2" s="568"/>
      <c r="E2" s="568"/>
      <c r="F2" s="568"/>
      <c r="G2" s="568"/>
      <c r="H2" s="568"/>
      <c r="I2" s="568"/>
      <c r="J2" s="568"/>
      <c r="K2" s="569"/>
      <c r="Q2" s="67"/>
    </row>
    <row r="3" spans="2:25" ht="6.6" customHeight="1" x14ac:dyDescent="0.25">
      <c r="B3" s="257"/>
      <c r="C3" s="8"/>
      <c r="D3" s="230"/>
      <c r="E3" s="230"/>
      <c r="F3" s="376"/>
      <c r="G3" s="8"/>
      <c r="H3" s="8"/>
      <c r="I3" s="8"/>
      <c r="J3" s="8"/>
      <c r="K3" s="231"/>
    </row>
    <row r="4" spans="2:25" s="79" customFormat="1" ht="19.5" customHeight="1" x14ac:dyDescent="0.25">
      <c r="B4" s="253" t="s">
        <v>74</v>
      </c>
      <c r="C4" s="728" t="s">
        <v>74</v>
      </c>
      <c r="D4" s="728"/>
      <c r="E4" s="377"/>
      <c r="F4" s="169"/>
      <c r="G4" s="211" t="s">
        <v>102</v>
      </c>
      <c r="H4" s="433"/>
      <c r="I4" s="435"/>
      <c r="J4" s="387"/>
      <c r="K4" s="83"/>
      <c r="L4" s="2"/>
      <c r="M4" s="2"/>
      <c r="N4" s="2"/>
      <c r="O4" s="2"/>
      <c r="P4" s="2"/>
    </row>
    <row r="5" spans="2:25" s="79" customFormat="1" ht="6.75" customHeight="1" x14ac:dyDescent="0.25">
      <c r="B5" s="241"/>
      <c r="C5" s="323"/>
      <c r="D5" s="324"/>
      <c r="E5" s="268"/>
      <c r="F5" s="268"/>
      <c r="G5" s="157"/>
      <c r="H5" s="157"/>
      <c r="I5" s="157"/>
      <c r="J5" s="49"/>
      <c r="K5" s="83"/>
      <c r="L5" s="2"/>
      <c r="M5" s="2"/>
      <c r="N5" s="2"/>
      <c r="O5" s="2"/>
      <c r="P5" s="2"/>
    </row>
    <row r="6" spans="2:25" s="79" customFormat="1" ht="19.5" customHeight="1" x14ac:dyDescent="0.25">
      <c r="B6" s="80"/>
      <c r="D6" s="382" t="s">
        <v>137</v>
      </c>
      <c r="E6" s="377"/>
      <c r="F6" s="211"/>
      <c r="G6" s="209" t="s">
        <v>103</v>
      </c>
      <c r="H6" s="433"/>
      <c r="I6" s="435"/>
      <c r="J6" s="385"/>
      <c r="K6" s="83"/>
      <c r="L6" s="388"/>
      <c r="M6" s="2"/>
      <c r="N6" s="2"/>
      <c r="O6" s="2"/>
      <c r="P6" s="2"/>
    </row>
    <row r="7" spans="2:25" s="79" customFormat="1" ht="7.5" customHeight="1" x14ac:dyDescent="0.25">
      <c r="B7" s="94"/>
      <c r="F7" s="268"/>
      <c r="G7" s="160"/>
      <c r="H7" s="160"/>
      <c r="I7" s="160"/>
      <c r="J7" s="91"/>
      <c r="K7" s="83"/>
      <c r="L7" s="727"/>
      <c r="M7" s="242"/>
      <c r="N7" s="2"/>
      <c r="O7" s="2"/>
      <c r="P7" s="2"/>
    </row>
    <row r="8" spans="2:25" s="93" customFormat="1" ht="30" customHeight="1" x14ac:dyDescent="0.25">
      <c r="B8" s="258"/>
      <c r="C8" s="728" t="s">
        <v>109</v>
      </c>
      <c r="D8" s="728"/>
      <c r="E8" s="732"/>
      <c r="F8" s="212"/>
      <c r="G8" s="175" t="s">
        <v>105</v>
      </c>
      <c r="H8" s="433"/>
      <c r="I8" s="435"/>
      <c r="J8" s="255"/>
      <c r="K8" s="92"/>
      <c r="L8" s="727"/>
      <c r="M8" s="242"/>
      <c r="N8" s="2"/>
      <c r="O8" s="2"/>
      <c r="P8" s="2"/>
      <c r="Q8" s="79"/>
      <c r="R8" s="79"/>
      <c r="S8" s="79"/>
      <c r="T8" s="79"/>
      <c r="U8" s="79"/>
      <c r="V8" s="79"/>
      <c r="W8" s="79"/>
      <c r="X8" s="79"/>
      <c r="Y8" s="79"/>
    </row>
    <row r="9" spans="2:25" s="93" customFormat="1" ht="17.25" customHeight="1" x14ac:dyDescent="0.25">
      <c r="B9" s="241"/>
      <c r="D9" s="357"/>
      <c r="E9" s="358" t="str">
        <f>IF(AND(E6="Expanded Access Core",E8&gt;0.8),"EA Core Program Max LTV is 80",IF(AND(E6="Expanded Access Plus",E8&gt;0.75),"EA Plus Program Max LTV is 75",""))</f>
        <v/>
      </c>
      <c r="F9" s="269"/>
      <c r="G9" s="161"/>
      <c r="H9" s="161"/>
      <c r="I9" s="161"/>
      <c r="J9" s="113"/>
      <c r="K9" s="92"/>
      <c r="L9" s="314"/>
      <c r="M9" s="2"/>
      <c r="N9" s="2"/>
      <c r="O9" s="2"/>
      <c r="P9" s="2"/>
      <c r="Q9" s="79"/>
      <c r="R9" s="79"/>
      <c r="S9" s="79"/>
      <c r="T9" s="79"/>
      <c r="U9" s="79"/>
      <c r="V9" s="79"/>
      <c r="W9" s="79"/>
      <c r="X9" s="79"/>
      <c r="Y9" s="79"/>
    </row>
    <row r="10" spans="2:25" s="93" customFormat="1" ht="27" customHeight="1" x14ac:dyDescent="0.25">
      <c r="B10" s="241"/>
      <c r="C10" s="357"/>
      <c r="E10" s="723" t="str">
        <f>IF(AND(OR(C18="OREO Home Equity (Residential Only) (75%)",C19="OREO Home Equity (Residential Only) (75%)",C20="OREO Home Equity (Residential Only) (75%)",C21="OREO Home Equity (Residential Only) (75%)",C22="OREO Home Equity (Residential Only) (75%)",C23="OREO Home Equity (Residential Only) (75%)",C24="OREO Home Equity (Residential Only) (75%)",C25="OREO Home Equity (Residential Only) (75%)",C26="OREO Home Equity (Residential Only) (75%)",C27="OREO Home Equity (Residential Only) (75%)",C28="OREO Home Equity (Residential Only) (75%)",C29="OREO Home Equity (Residential Only) (75%)"),E8&gt;0.65),"If you would like to use OREO proceeds to qualify, max LTV is 65%","")</f>
        <v/>
      </c>
      <c r="F10" s="270"/>
      <c r="G10" s="175" t="s">
        <v>104</v>
      </c>
      <c r="H10" s="596">
        <f>DownPayment+AUDate</f>
        <v>0</v>
      </c>
      <c r="I10" s="597"/>
      <c r="J10" s="386"/>
      <c r="K10" s="92"/>
      <c r="M10" s="2"/>
      <c r="N10" s="2"/>
      <c r="O10" s="2"/>
      <c r="P10" s="2"/>
      <c r="Q10" s="79"/>
      <c r="R10" s="79"/>
      <c r="S10" s="79"/>
      <c r="T10" s="79"/>
      <c r="U10" s="79"/>
      <c r="V10" s="79"/>
      <c r="W10" s="79"/>
      <c r="X10" s="79"/>
      <c r="Y10" s="79"/>
    </row>
    <row r="11" spans="2:25" s="93" customFormat="1" ht="7.5" customHeight="1" x14ac:dyDescent="0.25">
      <c r="B11" s="241"/>
      <c r="C11" s="267"/>
      <c r="D11" s="269"/>
      <c r="E11" s="724"/>
      <c r="F11" s="269"/>
      <c r="G11" s="161"/>
      <c r="H11" s="161"/>
      <c r="I11" s="161"/>
      <c r="J11" s="113"/>
      <c r="K11" s="92"/>
      <c r="L11" s="314"/>
      <c r="N11" s="2"/>
      <c r="O11" s="2"/>
      <c r="P11" s="2"/>
      <c r="Q11" s="79"/>
      <c r="R11" s="79"/>
      <c r="S11" s="79"/>
      <c r="T11" s="79"/>
      <c r="U11" s="79"/>
      <c r="V11" s="79"/>
      <c r="W11" s="79"/>
      <c r="X11" s="79"/>
      <c r="Y11" s="79"/>
    </row>
    <row r="12" spans="2:25" s="93" customFormat="1" ht="20.25" customHeight="1" x14ac:dyDescent="0.25">
      <c r="B12" s="258"/>
      <c r="C12" s="720" t="s">
        <v>108</v>
      </c>
      <c r="D12" s="720"/>
      <c r="E12" s="720"/>
      <c r="F12" s="271"/>
      <c r="G12" s="712" t="s">
        <v>107</v>
      </c>
      <c r="H12" s="713"/>
      <c r="I12" s="714"/>
      <c r="J12" s="385"/>
      <c r="K12" s="92"/>
      <c r="L12" s="380"/>
      <c r="M12" s="2"/>
      <c r="N12" s="2"/>
      <c r="O12" s="2"/>
      <c r="P12" s="2"/>
      <c r="Q12" s="79"/>
      <c r="R12" s="79"/>
      <c r="S12" s="79"/>
      <c r="T12" s="79"/>
      <c r="U12" s="79"/>
      <c r="V12" s="79"/>
      <c r="W12" s="79"/>
      <c r="X12" s="79"/>
      <c r="Y12" s="79"/>
    </row>
    <row r="13" spans="2:25" s="93" customFormat="1" ht="57.75" customHeight="1" x14ac:dyDescent="0.25">
      <c r="B13" s="258"/>
      <c r="C13" s="729" t="s">
        <v>106</v>
      </c>
      <c r="D13" s="730"/>
      <c r="E13" s="731"/>
      <c r="F13" s="272"/>
      <c r="G13" s="715" t="s">
        <v>130</v>
      </c>
      <c r="H13" s="716"/>
      <c r="I13" s="717"/>
      <c r="J13" s="385"/>
      <c r="K13" s="92"/>
      <c r="L13" s="389"/>
      <c r="M13" s="2"/>
      <c r="N13" s="2"/>
      <c r="O13" s="2"/>
      <c r="P13" s="2"/>
      <c r="Q13" s="79"/>
      <c r="R13" s="79"/>
      <c r="S13" s="79"/>
      <c r="T13" s="79"/>
      <c r="U13" s="79"/>
      <c r="V13" s="79"/>
      <c r="W13" s="79"/>
      <c r="X13" s="79"/>
      <c r="Y13" s="79"/>
    </row>
    <row r="14" spans="2:25" s="79" customFormat="1" ht="6.75" customHeight="1" thickBot="1" x14ac:dyDescent="0.3">
      <c r="B14" s="259"/>
      <c r="C14" s="256"/>
      <c r="D14" s="256"/>
      <c r="E14" s="256"/>
      <c r="F14" s="256"/>
      <c r="G14" s="260"/>
      <c r="H14" s="260"/>
      <c r="I14" s="260"/>
      <c r="J14" s="261"/>
      <c r="K14" s="262"/>
      <c r="L14" s="2"/>
      <c r="M14" s="2"/>
      <c r="N14" s="2"/>
      <c r="O14" s="2"/>
      <c r="P14" s="2"/>
    </row>
    <row r="15" spans="2:25" ht="24" thickBot="1" x14ac:dyDescent="0.3">
      <c r="B15" s="508" t="s">
        <v>97</v>
      </c>
      <c r="C15" s="509"/>
      <c r="D15" s="568"/>
      <c r="E15" s="568"/>
      <c r="F15" s="568"/>
      <c r="G15" s="568"/>
      <c r="H15" s="568"/>
      <c r="I15" s="568"/>
      <c r="J15" s="568"/>
      <c r="K15" s="569"/>
      <c r="L15" s="390"/>
      <c r="R15" s="26"/>
    </row>
    <row r="16" spans="2:25" ht="12" customHeight="1" x14ac:dyDescent="0.25">
      <c r="B16" s="106"/>
      <c r="C16" s="254"/>
      <c r="D16" s="108"/>
      <c r="E16" s="108"/>
      <c r="F16" s="108"/>
      <c r="G16" s="108"/>
      <c r="H16" s="108"/>
      <c r="I16" s="108"/>
      <c r="J16" s="108"/>
      <c r="K16" s="107"/>
      <c r="R16" s="26"/>
    </row>
    <row r="17" spans="2:23" ht="20.25" customHeight="1" x14ac:dyDescent="0.25">
      <c r="B17" s="9"/>
      <c r="C17" s="718" t="s">
        <v>96</v>
      </c>
      <c r="D17" s="719"/>
      <c r="E17" s="721" t="s">
        <v>95</v>
      </c>
      <c r="F17" s="722"/>
      <c r="G17" s="263" t="s">
        <v>94</v>
      </c>
      <c r="H17" s="325" t="s">
        <v>93</v>
      </c>
      <c r="I17" s="263" t="s">
        <v>116</v>
      </c>
      <c r="J17" s="263" t="s">
        <v>110</v>
      </c>
      <c r="K17" s="70"/>
      <c r="L17" s="725" t="str">
        <f>IF(OR(C18="OREO Home Equity (Residential Only) (Core Only: 75%)",C19="OREO Home Equity (Residential Only) (Core Only: 75%)",C20="OREO Home Equity (Residential Only) (Core Only: 75%)",C21="OREO Home Equity (Residential Only) (Core Only: 75%)",C22="OREO Home Equity (Residential Only) (Core Only: 75%)",C23="OREO Home Equity (Residential Only) (Core Only: 75%)",C24="OREO Home Equity (Residential Only) (Core Only: 75%)",C25="OREO Home Equity (Residential Only) (Core Only: 75%)",C26="OREO Home Equity (Residential Only) (Core Only: 75%)",C27="OREO Home Equity (Residential Only) (Core Only: 75%)",C28="OREO Home Equity (Residential Only) (75%)",C29="OREO Home Equity (Residential Only) (Core Only: 75%)"),"If using OREO Home Equity to qualify (EA CORE ONLY) Restrictions:
• Subject Loan: Max 65% LTV
• Borrower’s Min 700 FICO
• Value must by documented by exterior appraisal or BPO
• Lien Search required
• 100% ownership required","")</f>
        <v/>
      </c>
    </row>
    <row r="18" spans="2:23" ht="20.25" customHeight="1" x14ac:dyDescent="0.25">
      <c r="B18" s="9"/>
      <c r="C18" s="702"/>
      <c r="D18" s="702"/>
      <c r="E18" s="706"/>
      <c r="F18" s="707"/>
      <c r="G18" s="378"/>
      <c r="H18" s="378"/>
      <c r="I18" s="383">
        <f>NotBusDeposit-H18</f>
        <v>0</v>
      </c>
      <c r="J18" s="384" t="str">
        <f>IFERROR((G18-H18)*(IF($E$6="Expanded Access Plus",VLOOKUP(C18,'Admin AU'!$A$12:$B$14,2,FALSE),VLOOKUP(C18,'Admin AU'!$A$17:$B$20,2,FALSE))),"TBD")</f>
        <v>TBD</v>
      </c>
      <c r="K18" s="70"/>
      <c r="L18" s="725"/>
    </row>
    <row r="19" spans="2:23" ht="20.25" customHeight="1" x14ac:dyDescent="0.25">
      <c r="B19" s="9"/>
      <c r="C19" s="702"/>
      <c r="D19" s="702"/>
      <c r="E19" s="706"/>
      <c r="F19" s="707"/>
      <c r="G19" s="378"/>
      <c r="H19" s="378"/>
      <c r="I19" s="383">
        <f>notbustwo-H19</f>
        <v>0</v>
      </c>
      <c r="J19" s="384" t="str">
        <f>IFERROR((G19-H19)*(IF($E$6="Expanded Access Plus",VLOOKUP(C19,'Admin AU'!$A$12:$B$14,2,FALSE),VLOOKUP(C19,'Admin AU'!$A$17:$B$20,2,FALSE))),"TBD")</f>
        <v>TBD</v>
      </c>
      <c r="K19" s="70"/>
      <c r="L19" s="725"/>
    </row>
    <row r="20" spans="2:23" ht="20.25" customHeight="1" x14ac:dyDescent="0.25">
      <c r="B20" s="9"/>
      <c r="C20" s="702"/>
      <c r="D20" s="702"/>
      <c r="E20" s="706"/>
      <c r="F20" s="707"/>
      <c r="G20" s="378"/>
      <c r="H20" s="378"/>
      <c r="I20" s="383">
        <f>G20-H20</f>
        <v>0</v>
      </c>
      <c r="J20" s="384" t="str">
        <f>IFERROR((G20-H20)*(IF($E$6="Expanded Access Plus",VLOOKUP(C20,'Admin AU'!$A$12:$B$14,2,FALSE),VLOOKUP(C20,'Admin AU'!$A$17:$B$20,2,FALSE))),"TBD")</f>
        <v>TBD</v>
      </c>
      <c r="K20" s="11"/>
      <c r="L20" s="725"/>
    </row>
    <row r="21" spans="2:23" ht="20.25" customHeight="1" x14ac:dyDescent="0.25">
      <c r="B21" s="9"/>
      <c r="C21" s="702"/>
      <c r="D21" s="702"/>
      <c r="E21" s="706"/>
      <c r="F21" s="707"/>
      <c r="G21" s="378"/>
      <c r="H21" s="378"/>
      <c r="I21" s="383">
        <f t="shared" ref="I21:I29" si="0">G21-H21</f>
        <v>0</v>
      </c>
      <c r="J21" s="384" t="str">
        <f>IFERROR((G21-H21)*(IF($E$6="Expanded Access Plus",VLOOKUP(C21,'Admin AU'!$A$12:$B$14,2,FALSE),VLOOKUP(C21,'Admin AU'!$A$17:$B$20,2,FALSE))),"TBD")</f>
        <v>TBD</v>
      </c>
      <c r="K21" s="11"/>
      <c r="L21" s="725"/>
      <c r="Q21" s="2" t="s">
        <v>4</v>
      </c>
    </row>
    <row r="22" spans="2:23" ht="20.25" customHeight="1" x14ac:dyDescent="0.25">
      <c r="B22" s="9"/>
      <c r="C22" s="702"/>
      <c r="D22" s="702"/>
      <c r="E22" s="706"/>
      <c r="F22" s="707"/>
      <c r="G22" s="378"/>
      <c r="H22" s="378"/>
      <c r="I22" s="383">
        <f t="shared" si="0"/>
        <v>0</v>
      </c>
      <c r="J22" s="384" t="str">
        <f>IFERROR((G22-H22)*(IF($E$6="Expanded Access Plus",VLOOKUP(C22,'Admin AU'!$A$12:$B$14,2,FALSE),VLOOKUP(C22,'Admin AU'!$A$17:$B$20,2,FALSE))),"TBD")</f>
        <v>TBD</v>
      </c>
      <c r="K22" s="11"/>
      <c r="L22" s="725"/>
    </row>
    <row r="23" spans="2:23" ht="20.25" customHeight="1" x14ac:dyDescent="0.25">
      <c r="B23" s="9"/>
      <c r="C23" s="702"/>
      <c r="D23" s="702"/>
      <c r="E23" s="706"/>
      <c r="F23" s="707"/>
      <c r="G23" s="378"/>
      <c r="H23" s="378"/>
      <c r="I23" s="383">
        <f t="shared" si="0"/>
        <v>0</v>
      </c>
      <c r="J23" s="384" t="str">
        <f>IFERROR((G23-H23)*(IF($E$6="Expanded Access Plus",VLOOKUP(C23,'Admin AU'!$A$12:$B$14,2,FALSE),VLOOKUP(C23,'Admin AU'!$A$17:$B$20,2,FALSE))),"TBD")</f>
        <v>TBD</v>
      </c>
      <c r="K23" s="11"/>
    </row>
    <row r="24" spans="2:23" ht="20.25" customHeight="1" x14ac:dyDescent="0.25">
      <c r="B24" s="9"/>
      <c r="C24" s="702"/>
      <c r="D24" s="702"/>
      <c r="E24" s="706"/>
      <c r="F24" s="707"/>
      <c r="G24" s="378"/>
      <c r="H24" s="378"/>
      <c r="I24" s="383">
        <f t="shared" si="0"/>
        <v>0</v>
      </c>
      <c r="J24" s="384" t="str">
        <f>IFERROR((G24-H24)*(IF($E$6="Expanded Access Plus",VLOOKUP(C24,'Admin AU'!$A$12:$B$14,2,FALSE),VLOOKUP(C24,'Admin AU'!$A$17:$B$20,2,FALSE))),"TBD")</f>
        <v>TBD</v>
      </c>
      <c r="K24" s="11"/>
    </row>
    <row r="25" spans="2:23" ht="20.25" customHeight="1" x14ac:dyDescent="0.25">
      <c r="B25" s="9"/>
      <c r="C25" s="702"/>
      <c r="D25" s="702"/>
      <c r="E25" s="706"/>
      <c r="F25" s="707"/>
      <c r="G25" s="378"/>
      <c r="H25" s="378"/>
      <c r="I25" s="383">
        <f t="shared" si="0"/>
        <v>0</v>
      </c>
      <c r="J25" s="384" t="str">
        <f>IFERROR((G25-H25)*(IF($E$6="Expanded Access Plus",VLOOKUP(C25,'Admin AU'!$A$12:$B$14,2,FALSE),VLOOKUP(C25,'Admin AU'!$A$17:$B$20,2,FALSE))),"TBD")</f>
        <v>TBD</v>
      </c>
      <c r="K25" s="11"/>
    </row>
    <row r="26" spans="2:23" ht="20.25" customHeight="1" x14ac:dyDescent="0.25">
      <c r="B26" s="9"/>
      <c r="C26" s="702"/>
      <c r="D26" s="702"/>
      <c r="E26" s="706"/>
      <c r="F26" s="707"/>
      <c r="G26" s="378"/>
      <c r="H26" s="378"/>
      <c r="I26" s="383">
        <f t="shared" si="0"/>
        <v>0</v>
      </c>
      <c r="J26" s="384" t="str">
        <f>IFERROR((G26-H26)*(IF($E$6="Expanded Access Plus",VLOOKUP(C26,'Admin AU'!$A$12:$B$14,2,FALSE),VLOOKUP(C26,'Admin AU'!$A$17:$B$20,2,FALSE))),"TBD")</f>
        <v>TBD</v>
      </c>
      <c r="K26" s="11"/>
    </row>
    <row r="27" spans="2:23" ht="20.25" customHeight="1" x14ac:dyDescent="0.25">
      <c r="B27" s="9"/>
      <c r="C27" s="702"/>
      <c r="D27" s="702"/>
      <c r="E27" s="706"/>
      <c r="F27" s="707"/>
      <c r="G27" s="378"/>
      <c r="H27" s="378"/>
      <c r="I27" s="383">
        <f t="shared" si="0"/>
        <v>0</v>
      </c>
      <c r="J27" s="384" t="str">
        <f>IFERROR((G27-H27)*(IF($E$6="Expanded Access Plus",VLOOKUP(C27,'Admin AU'!$A$12:$B$14,2,FALSE),VLOOKUP(C27,'Admin AU'!$A$17:$B$20,2,FALSE))),"TBD")</f>
        <v>TBD</v>
      </c>
      <c r="K27" s="11"/>
    </row>
    <row r="28" spans="2:23" ht="20.25" customHeight="1" x14ac:dyDescent="0.25">
      <c r="B28" s="9"/>
      <c r="C28" s="702"/>
      <c r="D28" s="702"/>
      <c r="E28" s="706"/>
      <c r="F28" s="707"/>
      <c r="G28" s="378"/>
      <c r="H28" s="378"/>
      <c r="I28" s="383">
        <f t="shared" si="0"/>
        <v>0</v>
      </c>
      <c r="J28" s="384" t="str">
        <f>IFERROR((G28-H28)*(IF($E$6="Expanded Access Plus",VLOOKUP(C28,'Admin AU'!$A$12:$B$14,2,FALSE),VLOOKUP(C28,'Admin AU'!$A$17:$B$20,2,FALSE))),"TBD")</f>
        <v>TBD</v>
      </c>
      <c r="K28" s="11"/>
    </row>
    <row r="29" spans="2:23" ht="20.25" customHeight="1" x14ac:dyDescent="0.25">
      <c r="B29" s="9"/>
      <c r="C29" s="702"/>
      <c r="D29" s="702"/>
      <c r="E29" s="706"/>
      <c r="F29" s="707"/>
      <c r="G29" s="378"/>
      <c r="H29" s="378"/>
      <c r="I29" s="383">
        <f t="shared" si="0"/>
        <v>0</v>
      </c>
      <c r="J29" s="384" t="str">
        <f>IFERROR((G29-H29)*(IF($E$6="Expanded Access Plus",VLOOKUP(C29,'Admin AU'!$A$12:$B$14,2,FALSE),VLOOKUP(C29,'Admin AU'!$A$17:$B$20,2,FALSE))),"TBD")</f>
        <v>TBD</v>
      </c>
      <c r="K29" s="11"/>
    </row>
    <row r="30" spans="2:23" s="79" customFormat="1" ht="20.25" customHeight="1" x14ac:dyDescent="0.25">
      <c r="B30" s="80"/>
      <c r="C30" s="157"/>
      <c r="D30" s="264"/>
      <c r="E30" s="265" t="s">
        <v>92</v>
      </c>
      <c r="F30" s="265"/>
      <c r="G30" s="266">
        <f>IF(H30&lt;H10,"TBD",SUM(G18:G29))</f>
        <v>0</v>
      </c>
      <c r="H30" s="266">
        <f>SUM(H18:H29)</f>
        <v>0</v>
      </c>
      <c r="I30" s="266">
        <f>IF(H30&lt;H10,"TBD",SUM(I18:I29))</f>
        <v>0</v>
      </c>
      <c r="J30" s="266">
        <f>IF(H30&lt;H10,"TBD",SUM(J18:J29))</f>
        <v>0</v>
      </c>
      <c r="K30" s="83"/>
      <c r="L30" s="727"/>
      <c r="M30" s="2"/>
      <c r="N30" s="2"/>
      <c r="O30" s="2"/>
      <c r="P30" s="2"/>
    </row>
    <row r="31" spans="2:23" s="79" customFormat="1" ht="41.25" customHeight="1" thickBot="1" x14ac:dyDescent="0.35">
      <c r="B31" s="80"/>
      <c r="C31" s="49"/>
      <c r="D31" s="379"/>
      <c r="E31" s="240"/>
      <c r="F31" s="711" t="str">
        <f>IF(H10=0,"",IF(H30&gt;=H10,"","Please ensure you have entered ALL loan 
costs (downpayment and closing costs) in column H."))</f>
        <v/>
      </c>
      <c r="G31" s="711"/>
      <c r="H31" s="711"/>
      <c r="I31" s="711"/>
      <c r="J31" s="340"/>
      <c r="K31" s="83"/>
      <c r="L31" s="727"/>
      <c r="M31" s="2"/>
      <c r="N31" s="2"/>
      <c r="O31" s="2"/>
      <c r="P31" s="2"/>
    </row>
    <row r="32" spans="2:23" ht="24" thickBot="1" x14ac:dyDescent="0.35">
      <c r="B32" s="508" t="s">
        <v>21</v>
      </c>
      <c r="C32" s="509"/>
      <c r="D32" s="568"/>
      <c r="E32" s="568"/>
      <c r="F32" s="568"/>
      <c r="G32" s="568"/>
      <c r="H32" s="568"/>
      <c r="I32" s="568"/>
      <c r="J32" s="568"/>
      <c r="K32" s="569"/>
      <c r="N32" s="2" t="s">
        <v>4</v>
      </c>
      <c r="O32" s="182"/>
      <c r="P32" s="182"/>
      <c r="Q32" s="182"/>
      <c r="R32" s="182"/>
      <c r="S32" s="182"/>
      <c r="T32" s="182"/>
      <c r="U32" s="182"/>
      <c r="V32" s="182"/>
      <c r="W32" s="182"/>
    </row>
    <row r="33" spans="2:23" ht="40.5" customHeight="1" thickBot="1" x14ac:dyDescent="0.35">
      <c r="B33" s="704" t="s">
        <v>47</v>
      </c>
      <c r="C33" s="705"/>
      <c r="D33" s="705"/>
      <c r="E33" s="705"/>
      <c r="F33" s="705"/>
      <c r="G33" s="705"/>
      <c r="H33" s="705"/>
      <c r="I33" s="708" t="s">
        <v>91</v>
      </c>
      <c r="J33" s="709"/>
      <c r="K33" s="710"/>
      <c r="O33" s="182"/>
      <c r="P33" s="182"/>
      <c r="Q33" s="182"/>
      <c r="R33" s="182"/>
      <c r="S33" s="182"/>
      <c r="T33" s="182"/>
      <c r="U33" s="182"/>
      <c r="V33" s="182"/>
      <c r="W33" s="182"/>
    </row>
    <row r="34" spans="2:23" ht="9" customHeight="1" x14ac:dyDescent="0.3">
      <c r="B34" s="257"/>
      <c r="C34" s="336"/>
      <c r="D34" s="230"/>
      <c r="E34" s="230"/>
      <c r="F34" s="8"/>
      <c r="G34" s="326"/>
      <c r="H34" s="327"/>
      <c r="I34" s="693" t="str">
        <f>IF(OR(J30=0, ISERROR(J30/120)),"TBD",(J30/120))</f>
        <v>TBD</v>
      </c>
      <c r="J34" s="693"/>
      <c r="K34" s="694"/>
      <c r="O34" s="182"/>
      <c r="P34" s="182"/>
      <c r="Q34" s="182"/>
      <c r="R34" s="182"/>
      <c r="S34" s="182" t="s">
        <v>4</v>
      </c>
      <c r="T34" s="182"/>
      <c r="U34" s="182"/>
      <c r="V34" s="182"/>
      <c r="W34" s="182"/>
    </row>
    <row r="35" spans="2:23" ht="18.75" customHeight="1" x14ac:dyDescent="0.3">
      <c r="B35" s="9"/>
      <c r="C35" s="59"/>
      <c r="D35" s="305"/>
      <c r="E35" s="305"/>
      <c r="F35" s="1"/>
      <c r="G35" s="334" t="s">
        <v>132</v>
      </c>
      <c r="H35" s="329"/>
      <c r="I35" s="695"/>
      <c r="J35" s="695"/>
      <c r="K35" s="696"/>
      <c r="O35" s="182"/>
      <c r="P35" s="182"/>
      <c r="Q35" s="182"/>
      <c r="R35" s="182"/>
      <c r="S35" s="182"/>
      <c r="T35" s="182"/>
      <c r="U35" s="182"/>
      <c r="V35" s="182"/>
      <c r="W35" s="182"/>
    </row>
    <row r="36" spans="2:23" ht="34.5" customHeight="1" x14ac:dyDescent="0.3">
      <c r="B36" s="337"/>
      <c r="C36" s="392" t="s">
        <v>161</v>
      </c>
      <c r="D36" s="703" t="str">
        <f>IFERROR(IF(LoanAmount&lt;100000,"Please enter loan amount in Step 1",IF(LoanAmount&lt;800000,"Qualified Assets ("&amp;DOLLAR(J30,0)&amp;") must be more than 125% of loan amount ("&amp;DOLLAR((LoanAmount*1.25),0)&amp;")","Qualified Assets must be more than $1MM")),"Qualified assets must be either 125% of the loan amount or $1MM, whichever is less.")</f>
        <v>Please enter loan amount in Step 1</v>
      </c>
      <c r="E36" s="703"/>
      <c r="F36" s="328"/>
      <c r="G36" s="335" t="str">
        <f>IF(J30="TBD","TBD",IFERROR(IF(D36="Please enter loan amount in Step 1","TBD",IF(J30&lt;1,"TBD",IF(LoanAmount&lt;800000,IF(J30&gt;=(LoanAmount*1.25),"YES","NO"),IF(J30&gt;=1000000,"YES","NO")))),"TBD"))</f>
        <v>TBD</v>
      </c>
      <c r="H36" s="11"/>
      <c r="I36" s="695"/>
      <c r="J36" s="695"/>
      <c r="K36" s="696"/>
      <c r="O36" s="182"/>
      <c r="P36" s="182"/>
      <c r="Q36" s="182"/>
      <c r="R36" s="182"/>
      <c r="S36" s="182"/>
      <c r="T36" s="182"/>
      <c r="U36" s="182"/>
      <c r="V36" s="182"/>
      <c r="W36" s="182"/>
    </row>
    <row r="37" spans="2:23" ht="7.5" customHeight="1" x14ac:dyDescent="0.3">
      <c r="B37" s="337"/>
      <c r="C37" s="333"/>
      <c r="D37" s="381"/>
      <c r="E37" s="332"/>
      <c r="F37" s="328"/>
      <c r="G37" s="328"/>
      <c r="H37" s="329"/>
      <c r="I37" s="695"/>
      <c r="J37" s="695"/>
      <c r="K37" s="696"/>
      <c r="O37" s="663"/>
      <c r="P37" s="663"/>
      <c r="Q37" s="663"/>
      <c r="R37" s="182"/>
      <c r="S37" s="182"/>
      <c r="T37" s="182"/>
      <c r="U37" s="182"/>
      <c r="V37" s="182"/>
      <c r="W37" s="182"/>
    </row>
    <row r="38" spans="2:23" ht="32.25" customHeight="1" x14ac:dyDescent="0.3">
      <c r="B38" s="337"/>
      <c r="C38" s="393" t="s">
        <v>162</v>
      </c>
      <c r="D38" s="703" t="str">
        <f>IFERROR("Are Net Assets ("&amp;DOLLAR(I30,0)&amp;") &gt; $450K?","Are Net Assets &gt; $450K?")</f>
        <v>Are Net Assets ($0) &gt; $450K?</v>
      </c>
      <c r="E38" s="703"/>
      <c r="F38" s="328"/>
      <c r="G38" s="335" t="str">
        <f>IF(J30="TBD","TBD",IF(I30=0,"TBD",IF(I30&gt;450000,"YES","NO")))</f>
        <v>TBD</v>
      </c>
      <c r="H38" s="329"/>
      <c r="I38" s="695"/>
      <c r="J38" s="695"/>
      <c r="K38" s="696"/>
      <c r="O38" s="663"/>
      <c r="P38" s="663"/>
      <c r="Q38" s="663"/>
      <c r="R38" s="182"/>
      <c r="S38" s="182"/>
      <c r="T38" s="182"/>
      <c r="U38" s="182"/>
      <c r="V38" s="182"/>
      <c r="W38" s="182"/>
    </row>
    <row r="39" spans="2:23" ht="3" customHeight="1" x14ac:dyDescent="0.3">
      <c r="B39" s="337"/>
      <c r="C39" s="59"/>
      <c r="D39" s="59"/>
      <c r="E39" s="328"/>
      <c r="F39" s="328"/>
      <c r="G39" s="328"/>
      <c r="H39" s="329"/>
      <c r="I39" s="695"/>
      <c r="J39" s="695"/>
      <c r="K39" s="696"/>
      <c r="O39" s="182"/>
      <c r="P39" s="182"/>
      <c r="Q39" s="182"/>
      <c r="R39" s="182"/>
      <c r="S39" s="182"/>
      <c r="T39" s="182"/>
      <c r="U39" s="182"/>
      <c r="V39" s="182"/>
      <c r="W39" s="182"/>
    </row>
    <row r="40" spans="2:23" ht="9.75" customHeight="1" thickBot="1" x14ac:dyDescent="0.35">
      <c r="B40" s="338"/>
      <c r="C40" s="339"/>
      <c r="D40" s="339"/>
      <c r="E40" s="330"/>
      <c r="F40" s="330"/>
      <c r="G40" s="330"/>
      <c r="H40" s="331"/>
      <c r="I40" s="697"/>
      <c r="J40" s="697"/>
      <c r="K40" s="698"/>
      <c r="O40" s="182"/>
      <c r="P40" s="182"/>
      <c r="Q40" s="182"/>
      <c r="R40" s="182"/>
      <c r="S40" s="182"/>
      <c r="T40" s="182"/>
      <c r="U40" s="182"/>
      <c r="V40" s="182"/>
      <c r="W40" s="182"/>
    </row>
    <row r="41" spans="2:23" x14ac:dyDescent="0.25">
      <c r="B41" s="1"/>
      <c r="C41" s="1"/>
      <c r="D41" s="305"/>
      <c r="E41" s="305"/>
    </row>
  </sheetData>
  <sheetProtection selectLockedCells="1"/>
  <mergeCells count="51">
    <mergeCell ref="L17:L22"/>
    <mergeCell ref="B1:G1"/>
    <mergeCell ref="B2:K2"/>
    <mergeCell ref="O37:Q38"/>
    <mergeCell ref="B32:K32"/>
    <mergeCell ref="L30:L31"/>
    <mergeCell ref="C29:D29"/>
    <mergeCell ref="C28:D28"/>
    <mergeCell ref="C8:D8"/>
    <mergeCell ref="L7:L8"/>
    <mergeCell ref="C13:E13"/>
    <mergeCell ref="B15:K15"/>
    <mergeCell ref="C24:D24"/>
    <mergeCell ref="C23:D23"/>
    <mergeCell ref="C22:D22"/>
    <mergeCell ref="C4:D4"/>
    <mergeCell ref="C21:D21"/>
    <mergeCell ref="C20:D20"/>
    <mergeCell ref="C19:D19"/>
    <mergeCell ref="C18:D18"/>
    <mergeCell ref="E24:F24"/>
    <mergeCell ref="E23:F23"/>
    <mergeCell ref="E22:F22"/>
    <mergeCell ref="E21:F21"/>
    <mergeCell ref="E20:F20"/>
    <mergeCell ref="H4:I4"/>
    <mergeCell ref="H6:I6"/>
    <mergeCell ref="H8:I8"/>
    <mergeCell ref="H10:I10"/>
    <mergeCell ref="C17:D17"/>
    <mergeCell ref="C12:E12"/>
    <mergeCell ref="E17:F17"/>
    <mergeCell ref="E10:E11"/>
    <mergeCell ref="I33:K33"/>
    <mergeCell ref="I34:K40"/>
    <mergeCell ref="E29:F29"/>
    <mergeCell ref="F31:I31"/>
    <mergeCell ref="G12:I12"/>
    <mergeCell ref="G13:I13"/>
    <mergeCell ref="E18:F18"/>
    <mergeCell ref="E19:F19"/>
    <mergeCell ref="C27:D27"/>
    <mergeCell ref="C26:D26"/>
    <mergeCell ref="C25:D25"/>
    <mergeCell ref="D36:E36"/>
    <mergeCell ref="D38:E38"/>
    <mergeCell ref="B33:H33"/>
    <mergeCell ref="E28:F28"/>
    <mergeCell ref="E27:F27"/>
    <mergeCell ref="E26:F26"/>
    <mergeCell ref="E25:F25"/>
  </mergeCells>
  <conditionalFormatting sqref="G36">
    <cfRule type="expression" dxfId="6" priority="5">
      <formula>$G$36="TBD"</formula>
    </cfRule>
    <cfRule type="expression" dxfId="5" priority="108">
      <formula>$G$36="YES"</formula>
    </cfRule>
    <cfRule type="expression" dxfId="4" priority="109">
      <formula>G36="No"</formula>
    </cfRule>
  </conditionalFormatting>
  <conditionalFormatting sqref="G38">
    <cfRule type="expression" dxfId="3" priority="2">
      <formula>$G$38="TBD"</formula>
    </cfRule>
    <cfRule type="expression" dxfId="2" priority="3">
      <formula>$G$36="YES"</formula>
    </cfRule>
    <cfRule type="expression" dxfId="1" priority="4">
      <formula>G38="No"</formula>
    </cfRule>
  </conditionalFormatting>
  <conditionalFormatting sqref="F31">
    <cfRule type="expression" dxfId="0" priority="1">
      <formula>"H30&lt;H10"</formula>
    </cfRule>
  </conditionalFormatting>
  <dataValidations count="4">
    <dataValidation type="decimal" allowBlank="1" showInputMessage="1" showErrorMessage="1" sqref="G9:J9 G11:J11">
      <formula1>0</formula1>
      <formula2>1</formula2>
    </dataValidation>
    <dataValidation type="date" allowBlank="1" showInputMessage="1" showErrorMessage="1" sqref="H8">
      <formula1>1</formula1>
      <formula2>44562</formula2>
    </dataValidation>
    <dataValidation type="list" allowBlank="1" showInputMessage="1" showErrorMessage="1" sqref="C18:D29">
      <formula1>CoreAsset</formula1>
    </dataValidation>
    <dataValidation type="decimal" allowBlank="1" showInputMessage="1" showErrorMessage="1" sqref="E8">
      <formula1>0</formula1>
      <formula2>80</formula2>
    </dataValidation>
  </dataValidations>
  <pageMargins left="0.2" right="0.2" top="0.25" bottom="0.25" header="0.3" footer="0.3"/>
  <pageSetup paperSize="5" scale="5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AU'!$A$22:$A$23</xm:f>
          </x14:formula1>
          <xm:sqref>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B2:V42"/>
  <sheetViews>
    <sheetView topLeftCell="F1" zoomScale="85" zoomScaleNormal="85" workbookViewId="0">
      <selection activeCell="O11" sqref="O11"/>
    </sheetView>
  </sheetViews>
  <sheetFormatPr defaultColWidth="9.140625" defaultRowHeight="14.25" x14ac:dyDescent="0.25"/>
  <cols>
    <col min="1" max="1" width="2.7109375" style="23" customWidth="1"/>
    <col min="2" max="4" width="9.140625" style="23"/>
    <col min="5" max="5" width="119.28515625" style="23" bestFit="1" customWidth="1"/>
    <col min="6" max="6" width="114" style="23" bestFit="1" customWidth="1"/>
    <col min="7" max="7" width="9.140625" style="23"/>
    <col min="8" max="11" width="33.5703125" style="23" customWidth="1"/>
    <col min="12" max="12" width="9.140625" style="23"/>
    <col min="13" max="16" width="6.7109375" style="23" customWidth="1"/>
    <col min="17" max="17" width="7.85546875" style="23" bestFit="1" customWidth="1"/>
    <col min="18" max="18" width="8.7109375" style="23" bestFit="1" customWidth="1"/>
    <col min="19" max="19" width="6.7109375" style="23" customWidth="1"/>
    <col min="20" max="16384" width="9.140625" style="23"/>
  </cols>
  <sheetData>
    <row r="2" spans="2:18" ht="15" x14ac:dyDescent="0.35">
      <c r="B2" s="23" t="s">
        <v>8</v>
      </c>
      <c r="C2" s="23" t="s">
        <v>9</v>
      </c>
      <c r="D2" s="23" t="s">
        <v>12</v>
      </c>
      <c r="E2" s="23" t="s">
        <v>13</v>
      </c>
      <c r="F2" s="112" t="s">
        <v>14</v>
      </c>
      <c r="H2" s="23" t="s">
        <v>48</v>
      </c>
      <c r="I2" s="23" t="s">
        <v>49</v>
      </c>
      <c r="J2" s="123"/>
      <c r="K2" s="124" t="s">
        <v>50</v>
      </c>
    </row>
    <row r="3" spans="2:18" ht="105" x14ac:dyDescent="0.35">
      <c r="B3" s="23" t="s">
        <v>2</v>
      </c>
      <c r="C3" s="23">
        <v>12</v>
      </c>
      <c r="D3" s="23" t="s">
        <v>10</v>
      </c>
      <c r="E3" s="23" t="s">
        <v>22</v>
      </c>
      <c r="F3" s="111"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H3" s="125" t="e">
        <f>ABS((AMD-'STEP 3 - Income Analysis'!G13/MosReq)/('STEP 3 - Income Analysis'!G13/MosReq))</f>
        <v>#REF!</v>
      </c>
      <c r="I3" s="126" t="e">
        <f>ABS(AMD-'STEP 3 - Income Analysis'!G27/MosReq)/('STEP 3 - Income Analysis'!G27/MosReq)</f>
        <v>#REF!</v>
      </c>
      <c r="J3" s="123" t="s">
        <v>51</v>
      </c>
      <c r="K3" s="111"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M3" s="130"/>
      <c r="N3" s="131"/>
    </row>
    <row r="4" spans="2:18" ht="75" x14ac:dyDescent="0.35">
      <c r="B4" s="23" t="s">
        <v>3</v>
      </c>
      <c r="C4" s="23">
        <v>24</v>
      </c>
      <c r="D4" s="23" t="s">
        <v>11</v>
      </c>
      <c r="E4" s="23" t="s">
        <v>23</v>
      </c>
      <c r="F4" s="111"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c r="H4" s="23" t="str">
        <f>IF(ISERROR(IF(H3&lt;10%,"&lt;10%","&gt;10%")),"Error",(IF(H3&lt;10%,"&lt;10%","&gt;10%")))</f>
        <v>Error</v>
      </c>
      <c r="I4" s="23" t="str">
        <f>IF(ISERROR(IF(I3&lt;10%,"&lt;10%","&gt;10%")),"Error",(IF(I3&lt;10%,"&lt;10%","&gt;10%")))</f>
        <v>Error</v>
      </c>
      <c r="J4" s="127" t="s">
        <v>52</v>
      </c>
      <c r="K4" s="111"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2:18" ht="60" x14ac:dyDescent="0.35">
      <c r="E5" s="23" t="s">
        <v>55</v>
      </c>
      <c r="F5" s="111" t="s">
        <v>15</v>
      </c>
      <c r="J5" s="123" t="s">
        <v>53</v>
      </c>
      <c r="K5" s="111" t="s">
        <v>15</v>
      </c>
    </row>
    <row r="7" spans="2:18" x14ac:dyDescent="0.25">
      <c r="P7" s="23" t="s">
        <v>117</v>
      </c>
      <c r="Q7" s="23" t="s">
        <v>118</v>
      </c>
    </row>
    <row r="8" spans="2:18" ht="15" customHeight="1" x14ac:dyDescent="0.25">
      <c r="O8" s="233">
        <v>0</v>
      </c>
      <c r="P8" s="243">
        <v>0.2</v>
      </c>
      <c r="Q8" s="243">
        <v>0.4</v>
      </c>
      <c r="R8" s="243"/>
    </row>
    <row r="9" spans="2:18" ht="15" customHeight="1" x14ac:dyDescent="0.25">
      <c r="D9" s="23" t="s">
        <v>16</v>
      </c>
      <c r="E9" s="23" t="s">
        <v>17</v>
      </c>
      <c r="O9" s="234" t="s">
        <v>73</v>
      </c>
      <c r="P9" s="243">
        <v>0.4</v>
      </c>
      <c r="Q9" s="243">
        <v>0.6</v>
      </c>
      <c r="R9" s="243"/>
    </row>
    <row r="10" spans="2:18" ht="15" customHeight="1" x14ac:dyDescent="0.25">
      <c r="D10" s="25">
        <f>COUNTA(#REF!,#REF!,#REF!)</f>
        <v>3</v>
      </c>
      <c r="E10" s="23" t="s">
        <v>18</v>
      </c>
      <c r="O10" s="233" t="s">
        <v>160</v>
      </c>
      <c r="P10" s="243">
        <v>0.6</v>
      </c>
      <c r="Q10" s="243">
        <v>0.8</v>
      </c>
      <c r="R10" s="243"/>
    </row>
    <row r="11" spans="2:18" ht="14.25" customHeight="1" x14ac:dyDescent="0.25">
      <c r="E11" s="23" t="s">
        <v>19</v>
      </c>
    </row>
    <row r="14" spans="2:18" ht="14.25" customHeight="1" x14ac:dyDescent="0.25">
      <c r="B14" s="23" t="s">
        <v>10</v>
      </c>
    </row>
    <row r="15" spans="2:18" ht="14.25" customHeight="1" x14ac:dyDescent="0.25">
      <c r="B15" s="23" t="s">
        <v>11</v>
      </c>
    </row>
    <row r="18" spans="2:22" ht="14.25" customHeight="1" x14ac:dyDescent="0.25">
      <c r="B18" s="23" t="s">
        <v>27</v>
      </c>
      <c r="E18" s="23" t="s">
        <v>2</v>
      </c>
    </row>
    <row r="19" spans="2:22" ht="14.25" customHeight="1" x14ac:dyDescent="0.25">
      <c r="E19" s="23" t="e">
        <f>IF(AND(#REF!="Yes",#REF! = "No"), "Personal", "")</f>
        <v>#REF!</v>
      </c>
    </row>
    <row r="20" spans="2:22" ht="14.25" customHeight="1" x14ac:dyDescent="0.25">
      <c r="B20" s="23" t="s">
        <v>30</v>
      </c>
    </row>
    <row r="21" spans="2:22" ht="14.25" customHeight="1" x14ac:dyDescent="0.25">
      <c r="B21" s="23" t="s">
        <v>31</v>
      </c>
    </row>
    <row r="22" spans="2:22" ht="14.25" customHeight="1" x14ac:dyDescent="0.25">
      <c r="B22" s="23" t="s">
        <v>46</v>
      </c>
    </row>
    <row r="23" spans="2:22" ht="14.25" customHeight="1" x14ac:dyDescent="0.25">
      <c r="B23" s="23" t="s">
        <v>32</v>
      </c>
    </row>
    <row r="24" spans="2:22" ht="14.25" customHeight="1" x14ac:dyDescent="0.25">
      <c r="B24" s="23" t="s">
        <v>33</v>
      </c>
    </row>
    <row r="27" spans="2:22" x14ac:dyDescent="0.25">
      <c r="B27" s="23" t="s">
        <v>70</v>
      </c>
    </row>
    <row r="28" spans="2:22" x14ac:dyDescent="0.25">
      <c r="B28" s="23" t="s">
        <v>71</v>
      </c>
    </row>
    <row r="30" spans="2:22" ht="15" x14ac:dyDescent="0.25">
      <c r="B30" s="233">
        <v>0</v>
      </c>
    </row>
    <row r="31" spans="2:22" ht="15" x14ac:dyDescent="0.25">
      <c r="B31" s="234" t="s">
        <v>73</v>
      </c>
      <c r="E31" s="235"/>
      <c r="F31" s="235"/>
      <c r="G31" s="235"/>
      <c r="H31" s="235"/>
      <c r="I31" s="235"/>
      <c r="J31" s="235"/>
      <c r="K31" s="235"/>
      <c r="L31" s="235"/>
      <c r="M31" s="235"/>
      <c r="N31" s="235"/>
      <c r="O31" s="235"/>
      <c r="P31" s="235"/>
      <c r="Q31" s="235"/>
      <c r="R31" s="235"/>
      <c r="S31" s="235"/>
      <c r="T31" s="235"/>
      <c r="U31" s="235"/>
      <c r="V31" s="235"/>
    </row>
    <row r="32" spans="2:22" ht="15" x14ac:dyDescent="0.25">
      <c r="B32" s="233" t="s">
        <v>160</v>
      </c>
      <c r="E32" s="235"/>
      <c r="F32" s="235"/>
      <c r="G32" s="235"/>
      <c r="H32" s="235"/>
      <c r="I32" s="235"/>
      <c r="J32" s="235"/>
      <c r="K32" s="235"/>
      <c r="L32" s="235"/>
      <c r="M32" s="235"/>
      <c r="N32" s="235"/>
      <c r="O32" s="235"/>
      <c r="P32" s="235"/>
      <c r="Q32" s="235"/>
      <c r="R32" s="235"/>
      <c r="S32" s="235"/>
      <c r="T32" s="235"/>
      <c r="U32" s="235"/>
      <c r="V32" s="235"/>
    </row>
    <row r="33" spans="5:22" x14ac:dyDescent="0.25">
      <c r="E33" s="235"/>
      <c r="F33" s="235"/>
      <c r="G33" s="235"/>
      <c r="H33" s="235"/>
      <c r="I33" s="235"/>
      <c r="J33" s="235"/>
      <c r="K33" s="235"/>
      <c r="L33" s="235"/>
      <c r="M33" s="235"/>
      <c r="N33" s="235"/>
      <c r="O33" s="235"/>
      <c r="P33" s="235"/>
      <c r="Q33" s="235"/>
      <c r="R33" s="235"/>
      <c r="S33" s="235"/>
      <c r="T33" s="235"/>
      <c r="U33" s="235"/>
      <c r="V33" s="235"/>
    </row>
    <row r="34" spans="5:22" x14ac:dyDescent="0.25">
      <c r="E34" s="235"/>
      <c r="F34" s="235"/>
      <c r="G34" s="235"/>
      <c r="H34" s="235"/>
      <c r="I34" s="235"/>
      <c r="J34" s="235"/>
      <c r="K34" s="235"/>
      <c r="L34" s="235"/>
      <c r="M34" s="235"/>
      <c r="N34" s="235"/>
      <c r="O34" s="235"/>
      <c r="P34" s="235"/>
      <c r="Q34" s="235"/>
      <c r="R34" s="235"/>
      <c r="S34" s="235"/>
      <c r="T34" s="235"/>
      <c r="U34" s="235"/>
      <c r="V34" s="235"/>
    </row>
    <row r="35" spans="5:22" ht="18.75" customHeight="1" x14ac:dyDescent="0.25">
      <c r="E35" s="236" t="s">
        <v>113</v>
      </c>
      <c r="F35" s="237"/>
      <c r="G35" s="237"/>
      <c r="H35" s="237"/>
      <c r="I35" s="237"/>
      <c r="J35" s="237"/>
      <c r="K35" s="235"/>
      <c r="L35" s="235"/>
      <c r="M35" s="235"/>
      <c r="N35" s="235"/>
      <c r="O35" s="235"/>
      <c r="P35" s="235"/>
      <c r="Q35" s="235"/>
      <c r="R35" s="235"/>
      <c r="S35" s="235"/>
      <c r="T35" s="235"/>
      <c r="U35" s="235"/>
      <c r="V35" s="235"/>
    </row>
    <row r="36" spans="5:22" x14ac:dyDescent="0.25">
      <c r="E36" s="235" t="s">
        <v>87</v>
      </c>
      <c r="F36" s="235"/>
      <c r="G36" s="235"/>
      <c r="H36" s="235"/>
      <c r="I36" s="235"/>
      <c r="J36" s="235"/>
      <c r="K36" s="235"/>
      <c r="L36" s="235"/>
      <c r="M36" s="235"/>
      <c r="N36" s="235"/>
      <c r="O36" s="235"/>
      <c r="P36" s="235"/>
      <c r="Q36" s="235"/>
      <c r="R36" s="235"/>
      <c r="S36" s="235"/>
      <c r="T36" s="235"/>
      <c r="U36" s="235"/>
      <c r="V36" s="235"/>
    </row>
    <row r="37" spans="5:22" x14ac:dyDescent="0.25">
      <c r="E37" s="235"/>
      <c r="F37" s="235"/>
      <c r="G37" s="235"/>
      <c r="H37" s="235"/>
      <c r="I37" s="235"/>
      <c r="J37" s="235"/>
      <c r="K37" s="235"/>
      <c r="L37" s="235"/>
      <c r="M37" s="235"/>
      <c r="N37" s="235"/>
      <c r="O37" s="235"/>
      <c r="P37" s="235"/>
      <c r="Q37" s="235"/>
      <c r="R37" s="235"/>
      <c r="S37" s="235"/>
      <c r="T37" s="235"/>
      <c r="U37" s="235"/>
      <c r="V37" s="235"/>
    </row>
    <row r="38" spans="5:22" x14ac:dyDescent="0.25">
      <c r="E38" s="235"/>
      <c r="F38" s="235"/>
      <c r="G38" s="235"/>
      <c r="H38" s="235"/>
      <c r="I38" s="235"/>
      <c r="J38" s="235"/>
      <c r="K38" s="235"/>
      <c r="L38" s="235"/>
      <c r="M38" s="235"/>
      <c r="N38" s="235"/>
      <c r="O38" s="235"/>
      <c r="P38" s="235"/>
      <c r="Q38" s="235"/>
      <c r="R38" s="235"/>
      <c r="S38" s="235"/>
      <c r="T38" s="235"/>
      <c r="U38" s="235"/>
      <c r="V38" s="235"/>
    </row>
    <row r="39" spans="5:22" x14ac:dyDescent="0.25">
      <c r="E39" s="235"/>
      <c r="F39" s="235"/>
      <c r="G39" s="235"/>
      <c r="H39" s="235"/>
      <c r="I39" s="235"/>
      <c r="J39" s="235"/>
      <c r="K39" s="235"/>
      <c r="L39" s="235"/>
      <c r="M39" s="235"/>
      <c r="N39" s="235"/>
      <c r="O39" s="235"/>
      <c r="P39" s="235"/>
      <c r="Q39" s="235"/>
      <c r="R39" s="235"/>
      <c r="S39" s="235"/>
      <c r="T39" s="235"/>
      <c r="U39" s="235"/>
      <c r="V39" s="235"/>
    </row>
    <row r="40" spans="5:22" x14ac:dyDescent="0.25">
      <c r="E40" s="235"/>
      <c r="F40" s="235"/>
      <c r="G40" s="235"/>
      <c r="H40" s="235"/>
      <c r="I40" s="235"/>
      <c r="J40" s="235"/>
      <c r="K40" s="235"/>
      <c r="L40" s="235"/>
      <c r="M40" s="235"/>
      <c r="N40" s="235"/>
      <c r="O40" s="235"/>
      <c r="P40" s="235"/>
      <c r="Q40" s="235"/>
      <c r="R40" s="235"/>
      <c r="S40" s="235"/>
      <c r="T40" s="235"/>
      <c r="U40" s="235"/>
      <c r="V40" s="235"/>
    </row>
    <row r="41" spans="5:22" x14ac:dyDescent="0.25">
      <c r="E41" s="235"/>
      <c r="F41" s="235"/>
      <c r="G41" s="235"/>
      <c r="H41" s="235"/>
      <c r="I41" s="235"/>
      <c r="J41" s="235"/>
      <c r="K41" s="235"/>
      <c r="L41" s="235"/>
      <c r="M41" s="235"/>
      <c r="N41" s="235"/>
      <c r="O41" s="235"/>
      <c r="P41" s="235"/>
      <c r="Q41" s="235"/>
      <c r="R41" s="235"/>
      <c r="S41" s="235"/>
      <c r="T41" s="235"/>
      <c r="U41" s="235"/>
      <c r="V41" s="235"/>
    </row>
    <row r="42" spans="5:22" x14ac:dyDescent="0.25">
      <c r="E42" s="235"/>
      <c r="F42" s="235"/>
      <c r="G42" s="235"/>
      <c r="H42" s="235"/>
      <c r="I42" s="235"/>
      <c r="J42" s="235"/>
      <c r="K42" s="235"/>
      <c r="L42" s="235"/>
      <c r="M42" s="235"/>
      <c r="N42" s="235"/>
      <c r="O42" s="235"/>
      <c r="P42" s="235"/>
      <c r="Q42" s="235"/>
      <c r="R42" s="235"/>
      <c r="S42" s="235"/>
      <c r="T42" s="235"/>
      <c r="U42" s="235"/>
      <c r="V42" s="235"/>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sheetPr>
  <dimension ref="A2:D26"/>
  <sheetViews>
    <sheetView zoomScale="85" zoomScaleNormal="85" workbookViewId="0">
      <selection activeCell="A19" sqref="A19:B19"/>
    </sheetView>
  </sheetViews>
  <sheetFormatPr defaultColWidth="9.140625" defaultRowHeight="14.25" x14ac:dyDescent="0.25"/>
  <cols>
    <col min="1" max="1" width="114" style="23" bestFit="1" customWidth="1"/>
    <col min="2" max="2" width="9.140625" style="23"/>
    <col min="3" max="3" width="82.85546875" style="23" bestFit="1" customWidth="1"/>
    <col min="4" max="16384" width="9.140625" style="23"/>
  </cols>
  <sheetData>
    <row r="2" spans="1:4" x14ac:dyDescent="0.25">
      <c r="A2" s="112" t="s">
        <v>14</v>
      </c>
    </row>
    <row r="3" spans="1:4" ht="28.5" x14ac:dyDescent="0.25">
      <c r="A3" s="111"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C3" s="130"/>
      <c r="D3" s="131"/>
    </row>
    <row r="4" spans="1:4" ht="28.5" x14ac:dyDescent="0.25">
      <c r="A4" s="111"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1:4" x14ac:dyDescent="0.25">
      <c r="A5" s="111" t="s">
        <v>15</v>
      </c>
    </row>
    <row r="7" spans="1:4" x14ac:dyDescent="0.25">
      <c r="A7" s="23" t="s">
        <v>155</v>
      </c>
    </row>
    <row r="8" spans="1:4" x14ac:dyDescent="0.25">
      <c r="A8" s="23" t="s">
        <v>153</v>
      </c>
    </row>
    <row r="9" spans="1:4" x14ac:dyDescent="0.25">
      <c r="A9" s="23" t="s">
        <v>154</v>
      </c>
    </row>
    <row r="11" spans="1:4" x14ac:dyDescent="0.25">
      <c r="A11" s="23" t="s">
        <v>139</v>
      </c>
    </row>
    <row r="12" spans="1:4" x14ac:dyDescent="0.25">
      <c r="A12" s="23" t="s">
        <v>140</v>
      </c>
      <c r="B12" s="243">
        <v>1</v>
      </c>
    </row>
    <row r="13" spans="1:4" x14ac:dyDescent="0.25">
      <c r="A13" s="23" t="s">
        <v>163</v>
      </c>
      <c r="B13" s="243">
        <v>0.8</v>
      </c>
    </row>
    <row r="14" spans="1:4" x14ac:dyDescent="0.25">
      <c r="A14" s="23" t="s">
        <v>164</v>
      </c>
      <c r="B14" s="243">
        <v>0.7</v>
      </c>
    </row>
    <row r="15" spans="1:4" ht="15" x14ac:dyDescent="0.25">
      <c r="A15"/>
      <c r="B15"/>
    </row>
    <row r="16" spans="1:4" x14ac:dyDescent="0.25">
      <c r="A16" s="23" t="s">
        <v>138</v>
      </c>
    </row>
    <row r="17" spans="1:2" x14ac:dyDescent="0.25">
      <c r="A17" s="23" t="s">
        <v>140</v>
      </c>
      <c r="B17" s="243">
        <v>1</v>
      </c>
    </row>
    <row r="18" spans="1:2" x14ac:dyDescent="0.25">
      <c r="A18" s="23" t="s">
        <v>163</v>
      </c>
      <c r="B18" s="243">
        <v>0.85</v>
      </c>
    </row>
    <row r="19" spans="1:2" x14ac:dyDescent="0.25">
      <c r="A19" s="23" t="s">
        <v>164</v>
      </c>
      <c r="B19" s="243">
        <v>0.8</v>
      </c>
    </row>
    <row r="20" spans="1:2" x14ac:dyDescent="0.25">
      <c r="A20" s="23" t="s">
        <v>165</v>
      </c>
      <c r="B20" s="243">
        <v>0.75</v>
      </c>
    </row>
    <row r="22" spans="1:2" x14ac:dyDescent="0.25">
      <c r="A22" s="23" t="s">
        <v>138</v>
      </c>
    </row>
    <row r="23" spans="1:2" x14ac:dyDescent="0.25">
      <c r="A23" s="23" t="s">
        <v>139</v>
      </c>
    </row>
    <row r="26" spans="1:2" x14ac:dyDescent="0.25">
      <c r="A26" s="23" t="s">
        <v>4</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06692A7EEAB945A0B1E4097B04F8F6" ma:contentTypeVersion="9" ma:contentTypeDescription="Create a new document." ma:contentTypeScope="" ma:versionID="36cec1dc3c2105883b54faf2c7bb88c6">
  <xsd:schema xmlns:xsd="http://www.w3.org/2001/XMLSchema" xmlns:xs="http://www.w3.org/2001/XMLSchema" xmlns:p="http://schemas.microsoft.com/office/2006/metadata/properties" xmlns:ns2="d43311a5-a435-4cb7-a4ae-84e26cc00197" xmlns:ns3="49589e42-8710-46f2-8710-27d4333f4cd6" targetNamespace="http://schemas.microsoft.com/office/2006/metadata/properties" ma:root="true" ma:fieldsID="7bbdf2dd493e946716c1986ebab19aca" ns2:_="" ns3:_="">
    <xsd:import namespace="d43311a5-a435-4cb7-a4ae-84e26cc00197"/>
    <xsd:import namespace="49589e42-8710-46f2-8710-27d4333f4c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3311a5-a435-4cb7-a4ae-84e26cc001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589e42-8710-46f2-8710-27d4333f4c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F999C3-733D-4F4B-9620-B87AF4915260}"/>
</file>

<file path=customXml/itemProps2.xml><?xml version="1.0" encoding="utf-8"?>
<ds:datastoreItem xmlns:ds="http://schemas.openxmlformats.org/officeDocument/2006/customXml" ds:itemID="{B6C7AAB4-007A-42C4-B506-6DD0AABBC4E8}"/>
</file>

<file path=customXml/itemProps3.xml><?xml version="1.0" encoding="utf-8"?>
<ds:datastoreItem xmlns:ds="http://schemas.openxmlformats.org/officeDocument/2006/customXml" ds:itemID="{5954571C-CCAE-42ED-AD0F-09C248606A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75</vt:i4>
      </vt:variant>
    </vt:vector>
  </HeadingPairs>
  <TitlesOfParts>
    <vt:vector size="81" baseType="lpstr">
      <vt:lpstr>Bank Statements</vt:lpstr>
      <vt:lpstr>Express Doc</vt:lpstr>
      <vt:lpstr>STEP 3 - Income Analysis</vt:lpstr>
      <vt:lpstr>Asset Utilization</vt:lpstr>
      <vt:lpstr>Admin</vt:lpstr>
      <vt:lpstr>Admin AU</vt:lpstr>
      <vt:lpstr>AES</vt:lpstr>
      <vt:lpstr>'Bank Statements'!AMD</vt:lpstr>
      <vt:lpstr>APlust</vt:lpstr>
      <vt:lpstr>Asset</vt:lpstr>
      <vt:lpstr>AssetPlus</vt:lpstr>
      <vt:lpstr>AUDate</vt:lpstr>
      <vt:lpstr>BExpStd</vt:lpstr>
      <vt:lpstr>Borr</vt:lpstr>
      <vt:lpstr>'Bank Statements'!BorrowerName</vt:lpstr>
      <vt:lpstr>'Bank Statements'!BT</vt:lpstr>
      <vt:lpstr>'Bank Statements'!BusExpinPer</vt:lpstr>
      <vt:lpstr>BusinessExplanation</vt:lpstr>
      <vt:lpstr>'Bank Statements'!Businessname</vt:lpstr>
      <vt:lpstr>CoreAsset</vt:lpstr>
      <vt:lpstr>'Bank Statements'!DateRecentStatement</vt:lpstr>
      <vt:lpstr>Dep</vt:lpstr>
      <vt:lpstr>depeight</vt:lpstr>
      <vt:lpstr>depfirst</vt:lpstr>
      <vt:lpstr>depfive</vt:lpstr>
      <vt:lpstr>depfour</vt:lpstr>
      <vt:lpstr>depnine</vt:lpstr>
      <vt:lpstr>'Bank Statements'!Deposit1</vt:lpstr>
      <vt:lpstr>'Bank Statements'!Deposit10</vt:lpstr>
      <vt:lpstr>'Bank Statements'!Deposit11</vt:lpstr>
      <vt:lpstr>'Bank Statements'!Deposit12</vt:lpstr>
      <vt:lpstr>'Bank Statements'!Deposit2</vt:lpstr>
      <vt:lpstr>'Bank Statements'!Deposit3</vt:lpstr>
      <vt:lpstr>'Bank Statements'!Deposit4</vt:lpstr>
      <vt:lpstr>'Bank Statements'!Deposit5</vt:lpstr>
      <vt:lpstr>'Bank Statements'!Deposit6</vt:lpstr>
      <vt:lpstr>'Bank Statements'!Deposit7</vt:lpstr>
      <vt:lpstr>'Bank Statements'!Deposit8</vt:lpstr>
      <vt:lpstr>'Bank Statements'!Deposit9</vt:lpstr>
      <vt:lpstr>'Bank Statements'!DepositNotBus1</vt:lpstr>
      <vt:lpstr>'Bank Statements'!DepositNotBus2</vt:lpstr>
      <vt:lpstr>'Bank Statements'!DepositNotBus3</vt:lpstr>
      <vt:lpstr>'Bank Statements'!Deposits24</vt:lpstr>
      <vt:lpstr>'Bank Statements'!DepositsFirst12</vt:lpstr>
      <vt:lpstr>'Bank Statements'!DepositsNotBus12</vt:lpstr>
      <vt:lpstr>'Bank Statements'!DepositsNotBus24</vt:lpstr>
      <vt:lpstr>Depositten</vt:lpstr>
      <vt:lpstr>depseven</vt:lpstr>
      <vt:lpstr>depsix</vt:lpstr>
      <vt:lpstr>depthree</vt:lpstr>
      <vt:lpstr>deptwo</vt:lpstr>
      <vt:lpstr>DownPayment</vt:lpstr>
      <vt:lpstr>eleven</vt:lpstr>
      <vt:lpstr>'Bank Statements'!Employees</vt:lpstr>
      <vt:lpstr>'Bank Statements'!GoodsorServices</vt:lpstr>
      <vt:lpstr>'Bank Statements'!LargeDeposits</vt:lpstr>
      <vt:lpstr>LoanAmount</vt:lpstr>
      <vt:lpstr>lstBType</vt:lpstr>
      <vt:lpstr>lstMos</vt:lpstr>
      <vt:lpstr>'Bank Statements'!MosReq</vt:lpstr>
      <vt:lpstr>NotBusDeposit</vt:lpstr>
      <vt:lpstr>notbusthree</vt:lpstr>
      <vt:lpstr>notbustwelve</vt:lpstr>
      <vt:lpstr>notbustwo</vt:lpstr>
      <vt:lpstr>'Bank Statements'!NSF</vt:lpstr>
      <vt:lpstr>own</vt:lpstr>
      <vt:lpstr>'Bank Statements'!Ownership</vt:lpstr>
      <vt:lpstr>personal</vt:lpstr>
      <vt:lpstr>PgRq</vt:lpstr>
      <vt:lpstr>PlusAsset</vt:lpstr>
      <vt:lpstr>'Bank Statements'!PorB</vt:lpstr>
      <vt:lpstr>'Asset Utilization'!Print_Area</vt:lpstr>
      <vt:lpstr>'Bank Statements'!Print_Area</vt:lpstr>
      <vt:lpstr>'STEP 3 - Income Analysis'!Print_Area</vt:lpstr>
      <vt:lpstr>Program</vt:lpstr>
      <vt:lpstr>'Bank Statements'!Rent</vt:lpstr>
      <vt:lpstr>res</vt:lpstr>
      <vt:lpstr>Result</vt:lpstr>
      <vt:lpstr>'Bank Statements'!Seperatebooks</vt:lpstr>
      <vt:lpstr>'Bank Statements'!Transfers</vt:lpstr>
      <vt:lpstr>twelve</vt:lpstr>
    </vt:vector>
  </TitlesOfParts>
  <Company>SG Capital Partners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SGCP</dc:creator>
  <cp:lastModifiedBy>Kendra Eaton</cp:lastModifiedBy>
  <cp:lastPrinted>2018-11-15T14:16:00Z</cp:lastPrinted>
  <dcterms:created xsi:type="dcterms:W3CDTF">2016-12-08T14:04:14Z</dcterms:created>
  <dcterms:modified xsi:type="dcterms:W3CDTF">2018-12-05T22:23:48Z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0x010100F706692A7EEAB945A0B1E4097B04F8F6</vt:lpwstr>
  </property>
</Properties>
</file>